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8" windowWidth="6636" windowHeight="5208" activeTab="1"/>
  </bookViews>
  <sheets>
    <sheet name="UTIL" sheetId="1" r:id="rId1"/>
    <sheet name="HELP" sheetId="3" r:id="rId2"/>
    <sheet name="Calculations" sheetId="2" r:id="rId3"/>
    <sheet name="DV-IDENTITY-0" sheetId="5" state="veryHidden" r:id="rId4"/>
  </sheets>
  <definedNames>
    <definedName name="solver_adj" localSheetId="2" hidden="1">Calculations!$A$9</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Calculations!$D$9</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0</definedName>
  </definedNames>
  <calcPr calcId="145621"/>
</workbook>
</file>

<file path=xl/calcChain.xml><?xml version="1.0" encoding="utf-8"?>
<calcChain xmlns="http://schemas.openxmlformats.org/spreadsheetml/2006/main">
  <c r="A9" i="5" l="1"/>
  <c r="B9" i="5"/>
  <c r="C9" i="5"/>
  <c r="D9" i="5"/>
  <c r="E9" i="5"/>
  <c r="F9" i="5"/>
  <c r="G9" i="5"/>
  <c r="H9" i="5"/>
  <c r="I9" i="5"/>
  <c r="J9" i="5"/>
  <c r="K9" i="5"/>
  <c r="L9" i="5"/>
  <c r="M9" i="5"/>
  <c r="N9" i="5"/>
  <c r="O9" i="5"/>
  <c r="P9" i="5"/>
  <c r="Q9" i="5"/>
  <c r="R9" i="5"/>
  <c r="S9" i="5"/>
  <c r="T9" i="5"/>
  <c r="U9" i="5"/>
  <c r="V9" i="5"/>
  <c r="W9" i="5"/>
  <c r="X9" i="5"/>
  <c r="Y9" i="5"/>
  <c r="Z9" i="5"/>
  <c r="AA9" i="5"/>
  <c r="AB9" i="5"/>
  <c r="AC9" i="5"/>
  <c r="AD9" i="5"/>
  <c r="AE9" i="5"/>
  <c r="AF9" i="5"/>
  <c r="AG9" i="5"/>
  <c r="AH9" i="5"/>
  <c r="AI9" i="5"/>
  <c r="AJ9" i="5"/>
  <c r="AK9" i="5"/>
  <c r="AL9" i="5"/>
  <c r="AM9" i="5"/>
  <c r="AN9" i="5"/>
  <c r="AO9" i="5"/>
  <c r="AP9" i="5"/>
  <c r="AQ9" i="5"/>
  <c r="AR9" i="5"/>
  <c r="AS9" i="5"/>
  <c r="AT9" i="5"/>
  <c r="AU9" i="5"/>
  <c r="AV9" i="5"/>
  <c r="AW9" i="5"/>
  <c r="AX9" i="5"/>
  <c r="AY9" i="5"/>
  <c r="AZ9" i="5"/>
  <c r="BA9" i="5"/>
  <c r="BB9" i="5"/>
  <c r="BC9" i="5"/>
  <c r="BD9" i="5"/>
  <c r="BE9" i="5"/>
  <c r="BF9" i="5"/>
  <c r="BG9" i="5"/>
  <c r="BH9" i="5"/>
  <c r="BI9" i="5"/>
  <c r="BJ9" i="5"/>
  <c r="BK9" i="5"/>
  <c r="BL9" i="5"/>
  <c r="BM9" i="5"/>
  <c r="BN9" i="5"/>
  <c r="BO9" i="5"/>
  <c r="BP9" i="5"/>
  <c r="BQ9" i="5"/>
  <c r="BR9" i="5"/>
  <c r="BS9" i="5"/>
  <c r="BT9" i="5"/>
  <c r="BU9" i="5"/>
  <c r="BV9" i="5"/>
  <c r="BW9" i="5"/>
  <c r="BX9" i="5"/>
  <c r="BY9" i="5"/>
  <c r="BZ9" i="5"/>
  <c r="CA9" i="5"/>
  <c r="CB9" i="5"/>
  <c r="CC9" i="5"/>
  <c r="CD9" i="5"/>
  <c r="CE9" i="5"/>
  <c r="CF9" i="5"/>
  <c r="CG9" i="5"/>
  <c r="CH9" i="5"/>
  <c r="CI9" i="5"/>
  <c r="CJ9" i="5"/>
  <c r="CK9" i="5"/>
  <c r="CL9" i="5"/>
  <c r="CM9" i="5"/>
  <c r="CN9" i="5"/>
  <c r="CO9" i="5"/>
  <c r="CP9" i="5"/>
  <c r="CQ9" i="5"/>
  <c r="CR9" i="5"/>
  <c r="CS9" i="5"/>
  <c r="CT9" i="5"/>
  <c r="CU9" i="5"/>
  <c r="CV9" i="5"/>
  <c r="CW9" i="5"/>
  <c r="CX9" i="5"/>
  <c r="CY9" i="5"/>
  <c r="CZ9" i="5"/>
  <c r="DA9" i="5"/>
  <c r="DB9" i="5"/>
  <c r="DC9" i="5"/>
  <c r="DD9" i="5"/>
  <c r="DE9" i="5"/>
  <c r="DF9" i="5"/>
  <c r="DG9" i="5"/>
  <c r="DH9" i="5"/>
  <c r="DI9" i="5"/>
  <c r="DJ9" i="5"/>
  <c r="DK9" i="5"/>
  <c r="DL9" i="5"/>
  <c r="DM9" i="5"/>
  <c r="DN9" i="5"/>
  <c r="DO9" i="5"/>
  <c r="DP9" i="5"/>
  <c r="DQ9" i="5"/>
  <c r="DR9" i="5"/>
  <c r="DS9" i="5"/>
  <c r="DT9" i="5"/>
  <c r="DU9" i="5"/>
  <c r="DV9" i="5"/>
  <c r="DW9" i="5"/>
  <c r="DX9" i="5"/>
  <c r="DY9" i="5"/>
  <c r="DZ9" i="5"/>
  <c r="EA9" i="5"/>
  <c r="EB9" i="5"/>
  <c r="EC9" i="5"/>
  <c r="ED9" i="5"/>
  <c r="EE9" i="5"/>
  <c r="EF9" i="5"/>
  <c r="EG9" i="5"/>
  <c r="EH9" i="5"/>
  <c r="EI9" i="5"/>
  <c r="EJ9" i="5"/>
  <c r="EK9" i="5"/>
  <c r="EL9" i="5"/>
  <c r="EM9" i="5"/>
  <c r="EN9" i="5"/>
  <c r="EO9" i="5"/>
  <c r="EP9" i="5"/>
  <c r="EQ9" i="5"/>
  <c r="ER9" i="5"/>
  <c r="ES9" i="5"/>
  <c r="ET9" i="5"/>
  <c r="EU9" i="5"/>
  <c r="EV9" i="5"/>
  <c r="EW9" i="5"/>
  <c r="EX9" i="5"/>
  <c r="EY9" i="5"/>
  <c r="EZ9" i="5"/>
  <c r="FA9" i="5"/>
  <c r="FB9" i="5"/>
  <c r="FC9" i="5"/>
  <c r="FD9" i="5"/>
  <c r="FE9" i="5"/>
  <c r="FF9" i="5"/>
  <c r="FG9" i="5"/>
  <c r="FH9" i="5"/>
  <c r="FI9" i="5"/>
  <c r="FJ9" i="5"/>
  <c r="FK9" i="5"/>
  <c r="FL9" i="5"/>
  <c r="FM9" i="5"/>
  <c r="FN9" i="5"/>
  <c r="FO9" i="5"/>
  <c r="FP9" i="5"/>
  <c r="FQ9" i="5"/>
  <c r="FR9" i="5"/>
  <c r="FS9" i="5"/>
  <c r="FT9" i="5"/>
  <c r="FU9" i="5"/>
  <c r="FV9" i="5"/>
  <c r="FW9" i="5"/>
  <c r="FX9" i="5"/>
  <c r="FY9" i="5"/>
  <c r="FZ9" i="5"/>
  <c r="GA9" i="5"/>
  <c r="GB9" i="5"/>
  <c r="GC9" i="5"/>
  <c r="GD9" i="5"/>
  <c r="GE9" i="5"/>
  <c r="GF9" i="5"/>
  <c r="GG9" i="5"/>
  <c r="GH9" i="5"/>
  <c r="GI9" i="5"/>
  <c r="GJ9" i="5"/>
  <c r="GK9" i="5"/>
  <c r="GL9" i="5"/>
  <c r="GM9" i="5"/>
  <c r="GN9" i="5"/>
  <c r="GO9" i="5"/>
  <c r="GP9" i="5"/>
  <c r="GQ9" i="5"/>
  <c r="GR9" i="5"/>
  <c r="GS9" i="5"/>
  <c r="GT9" i="5"/>
  <c r="GU9" i="5"/>
  <c r="GV9" i="5"/>
  <c r="GW9" i="5"/>
  <c r="GX9" i="5"/>
  <c r="GY9" i="5"/>
  <c r="GZ9" i="5"/>
  <c r="HA9" i="5"/>
  <c r="HE9" i="5"/>
  <c r="HF9" i="5"/>
  <c r="HH9" i="5"/>
  <c r="HI9" i="5"/>
  <c r="HJ9" i="5"/>
  <c r="HK9" i="5"/>
  <c r="HM9" i="5"/>
  <c r="HN9" i="5"/>
  <c r="HO9" i="5"/>
  <c r="HP9" i="5"/>
  <c r="HQ9" i="5"/>
  <c r="HS9" i="5"/>
  <c r="HT9" i="5"/>
  <c r="HU9" i="5"/>
  <c r="HV9" i="5"/>
  <c r="HW9" i="5"/>
  <c r="HX9" i="5"/>
  <c r="HY9" i="5"/>
  <c r="HZ9" i="5"/>
  <c r="IA9" i="5"/>
  <c r="IB9" i="5"/>
  <c r="IC9" i="5"/>
  <c r="ID9" i="5"/>
  <c r="IE9" i="5"/>
  <c r="IF9" i="5"/>
  <c r="IG9" i="5"/>
  <c r="IH9" i="5"/>
  <c r="II9" i="5"/>
  <c r="A8" i="5"/>
  <c r="B8" i="5"/>
  <c r="C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AM8" i="5"/>
  <c r="AN8" i="5"/>
  <c r="AO8" i="5"/>
  <c r="AP8" i="5"/>
  <c r="AQ8" i="5"/>
  <c r="AR8" i="5"/>
  <c r="AS8" i="5"/>
  <c r="AT8" i="5"/>
  <c r="AU8" i="5"/>
  <c r="AV8" i="5"/>
  <c r="AW8" i="5"/>
  <c r="AX8" i="5"/>
  <c r="AY8" i="5"/>
  <c r="AZ8" i="5"/>
  <c r="BA8" i="5"/>
  <c r="BB8" i="5"/>
  <c r="BC8" i="5"/>
  <c r="BD8" i="5"/>
  <c r="BE8" i="5"/>
  <c r="BF8" i="5"/>
  <c r="BG8" i="5"/>
  <c r="BH8" i="5"/>
  <c r="BI8" i="5"/>
  <c r="BJ8" i="5"/>
  <c r="BK8" i="5"/>
  <c r="BL8" i="5"/>
  <c r="BM8" i="5"/>
  <c r="BN8" i="5"/>
  <c r="BO8" i="5"/>
  <c r="BP8" i="5"/>
  <c r="BQ8" i="5"/>
  <c r="BR8" i="5"/>
  <c r="BS8" i="5"/>
  <c r="BT8" i="5"/>
  <c r="BU8" i="5"/>
  <c r="BV8" i="5"/>
  <c r="BW8" i="5"/>
  <c r="BX8" i="5"/>
  <c r="BY8" i="5"/>
  <c r="BZ8" i="5"/>
  <c r="CA8" i="5"/>
  <c r="CB8" i="5"/>
  <c r="CC8" i="5"/>
  <c r="CD8" i="5"/>
  <c r="CE8" i="5"/>
  <c r="CF8" i="5"/>
  <c r="CG8" i="5"/>
  <c r="CH8" i="5"/>
  <c r="CI8" i="5"/>
  <c r="CJ8" i="5"/>
  <c r="CK8" i="5"/>
  <c r="CL8" i="5"/>
  <c r="CM8" i="5"/>
  <c r="CN8" i="5"/>
  <c r="CO8" i="5"/>
  <c r="CP8" i="5"/>
  <c r="CQ8" i="5"/>
  <c r="CR8" i="5"/>
  <c r="CS8" i="5"/>
  <c r="CT8" i="5"/>
  <c r="CU8" i="5"/>
  <c r="CV8" i="5"/>
  <c r="CW8" i="5"/>
  <c r="CX8" i="5"/>
  <c r="CY8" i="5"/>
  <c r="CZ8" i="5"/>
  <c r="DA8" i="5"/>
  <c r="DB8" i="5"/>
  <c r="DC8" i="5"/>
  <c r="DD8" i="5"/>
  <c r="DE8" i="5"/>
  <c r="DF8" i="5"/>
  <c r="DG8" i="5"/>
  <c r="DH8" i="5"/>
  <c r="DI8" i="5"/>
  <c r="DJ8" i="5"/>
  <c r="DK8" i="5"/>
  <c r="DL8" i="5"/>
  <c r="DM8" i="5"/>
  <c r="DN8" i="5"/>
  <c r="DO8" i="5"/>
  <c r="DP8" i="5"/>
  <c r="DQ8" i="5"/>
  <c r="DR8" i="5"/>
  <c r="DS8" i="5"/>
  <c r="DT8" i="5"/>
  <c r="DU8" i="5"/>
  <c r="DV8" i="5"/>
  <c r="DW8" i="5"/>
  <c r="DX8" i="5"/>
  <c r="DY8" i="5"/>
  <c r="DZ8" i="5"/>
  <c r="EA8" i="5"/>
  <c r="EB8" i="5"/>
  <c r="EC8" i="5"/>
  <c r="ED8" i="5"/>
  <c r="EE8" i="5"/>
  <c r="EF8" i="5"/>
  <c r="EG8" i="5"/>
  <c r="EH8" i="5"/>
  <c r="EI8" i="5"/>
  <c r="EJ8" i="5"/>
  <c r="EK8" i="5"/>
  <c r="EL8" i="5"/>
  <c r="EM8" i="5"/>
  <c r="EN8" i="5"/>
  <c r="EO8" i="5"/>
  <c r="EP8" i="5"/>
  <c r="EQ8" i="5"/>
  <c r="ER8" i="5"/>
  <c r="ES8" i="5"/>
  <c r="ET8" i="5"/>
  <c r="EU8" i="5"/>
  <c r="EV8" i="5"/>
  <c r="EW8" i="5"/>
  <c r="EX8" i="5"/>
  <c r="EY8" i="5"/>
  <c r="EZ8" i="5"/>
  <c r="FA8" i="5"/>
  <c r="FB8" i="5"/>
  <c r="FC8" i="5"/>
  <c r="FD8" i="5"/>
  <c r="FE8" i="5"/>
  <c r="FF8" i="5"/>
  <c r="FG8" i="5"/>
  <c r="FH8" i="5"/>
  <c r="FI8" i="5"/>
  <c r="FJ8" i="5"/>
  <c r="FK8" i="5"/>
  <c r="FL8" i="5"/>
  <c r="FM8" i="5"/>
  <c r="FN8" i="5"/>
  <c r="FO8" i="5"/>
  <c r="FP8" i="5"/>
  <c r="FQ8" i="5"/>
  <c r="FR8" i="5"/>
  <c r="FS8" i="5"/>
  <c r="FT8" i="5"/>
  <c r="FU8" i="5"/>
  <c r="FV8" i="5"/>
  <c r="FW8" i="5"/>
  <c r="FX8" i="5"/>
  <c r="FY8" i="5"/>
  <c r="FZ8" i="5"/>
  <c r="GA8" i="5"/>
  <c r="GB8" i="5"/>
  <c r="GC8" i="5"/>
  <c r="GD8" i="5"/>
  <c r="GE8" i="5"/>
  <c r="GF8" i="5"/>
  <c r="GG8" i="5"/>
  <c r="GH8" i="5"/>
  <c r="GI8" i="5"/>
  <c r="GJ8" i="5"/>
  <c r="GK8" i="5"/>
  <c r="GL8" i="5"/>
  <c r="GM8" i="5"/>
  <c r="GN8" i="5"/>
  <c r="GO8" i="5"/>
  <c r="GP8" i="5"/>
  <c r="GQ8" i="5"/>
  <c r="GR8" i="5"/>
  <c r="GS8" i="5"/>
  <c r="GT8" i="5"/>
  <c r="GU8" i="5"/>
  <c r="GV8" i="5"/>
  <c r="GW8" i="5"/>
  <c r="GX8" i="5"/>
  <c r="GY8" i="5"/>
  <c r="GZ8" i="5"/>
  <c r="HA8" i="5"/>
  <c r="HB8" i="5"/>
  <c r="HC8" i="5"/>
  <c r="HD8" i="5"/>
  <c r="HE8" i="5"/>
  <c r="HF8" i="5"/>
  <c r="HG8" i="5"/>
  <c r="HH8" i="5"/>
  <c r="HI8" i="5"/>
  <c r="HJ8" i="5"/>
  <c r="HK8" i="5"/>
  <c r="HL8" i="5"/>
  <c r="HM8" i="5"/>
  <c r="HN8" i="5"/>
  <c r="HO8" i="5"/>
  <c r="HP8" i="5"/>
  <c r="HQ8" i="5"/>
  <c r="HR8" i="5"/>
  <c r="HS8" i="5"/>
  <c r="HT8" i="5"/>
  <c r="HU8" i="5"/>
  <c r="HV8" i="5"/>
  <c r="HW8" i="5"/>
  <c r="HX8" i="5"/>
  <c r="HY8" i="5"/>
  <c r="HZ8" i="5"/>
  <c r="IA8" i="5"/>
  <c r="IB8" i="5"/>
  <c r="IC8" i="5"/>
  <c r="ID8" i="5"/>
  <c r="IE8" i="5"/>
  <c r="IF8" i="5"/>
  <c r="IG8" i="5"/>
  <c r="IH8" i="5"/>
  <c r="II8" i="5"/>
  <c r="IJ8" i="5"/>
  <c r="IK8" i="5"/>
  <c r="IL8" i="5"/>
  <c r="IM8" i="5"/>
  <c r="IN8" i="5"/>
  <c r="IO8" i="5"/>
  <c r="IP8" i="5"/>
  <c r="IQ8" i="5"/>
  <c r="IR8" i="5"/>
  <c r="IS8" i="5"/>
  <c r="IT8" i="5"/>
  <c r="IU8" i="5"/>
  <c r="IV8" i="5"/>
  <c r="A7" i="5"/>
  <c r="B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AM7" i="5"/>
  <c r="AN7" i="5"/>
  <c r="AO7" i="5"/>
  <c r="AP7" i="5"/>
  <c r="AQ7" i="5"/>
  <c r="AR7" i="5"/>
  <c r="AS7" i="5"/>
  <c r="AT7" i="5"/>
  <c r="AU7" i="5"/>
  <c r="AV7" i="5"/>
  <c r="AW7" i="5"/>
  <c r="AX7" i="5"/>
  <c r="AY7" i="5"/>
  <c r="AZ7" i="5"/>
  <c r="BA7" i="5"/>
  <c r="BB7" i="5"/>
  <c r="BC7" i="5"/>
  <c r="BD7" i="5"/>
  <c r="BE7" i="5"/>
  <c r="BF7" i="5"/>
  <c r="BG7" i="5"/>
  <c r="BH7" i="5"/>
  <c r="BI7" i="5"/>
  <c r="BJ7" i="5"/>
  <c r="BK7" i="5"/>
  <c r="BL7" i="5"/>
  <c r="BM7" i="5"/>
  <c r="BN7" i="5"/>
  <c r="BO7" i="5"/>
  <c r="BP7" i="5"/>
  <c r="BQ7" i="5"/>
  <c r="BR7" i="5"/>
  <c r="BS7" i="5"/>
  <c r="BT7" i="5"/>
  <c r="BU7" i="5"/>
  <c r="BV7" i="5"/>
  <c r="BW7" i="5"/>
  <c r="BX7" i="5"/>
  <c r="BY7" i="5"/>
  <c r="BZ7" i="5"/>
  <c r="CA7" i="5"/>
  <c r="CB7" i="5"/>
  <c r="CC7" i="5"/>
  <c r="CD7" i="5"/>
  <c r="CE7" i="5"/>
  <c r="CF7" i="5"/>
  <c r="CG7" i="5"/>
  <c r="CH7" i="5"/>
  <c r="CI7" i="5"/>
  <c r="CJ7" i="5"/>
  <c r="CK7" i="5"/>
  <c r="CL7" i="5"/>
  <c r="CM7" i="5"/>
  <c r="CN7" i="5"/>
  <c r="CO7" i="5"/>
  <c r="CP7" i="5"/>
  <c r="CQ7" i="5"/>
  <c r="CR7" i="5"/>
  <c r="CS7" i="5"/>
  <c r="CT7" i="5"/>
  <c r="CU7" i="5"/>
  <c r="CV7" i="5"/>
  <c r="CW7" i="5"/>
  <c r="CX7" i="5"/>
  <c r="CY7" i="5"/>
  <c r="CZ7" i="5"/>
  <c r="DA7" i="5"/>
  <c r="DB7" i="5"/>
  <c r="DC7" i="5"/>
  <c r="DD7" i="5"/>
  <c r="DE7" i="5"/>
  <c r="DF7" i="5"/>
  <c r="DG7" i="5"/>
  <c r="DH7" i="5"/>
  <c r="DI7" i="5"/>
  <c r="DJ7" i="5"/>
  <c r="DK7" i="5"/>
  <c r="DL7" i="5"/>
  <c r="DM7" i="5"/>
  <c r="DN7" i="5"/>
  <c r="DO7" i="5"/>
  <c r="DP7" i="5"/>
  <c r="DQ7" i="5"/>
  <c r="DR7" i="5"/>
  <c r="DS7" i="5"/>
  <c r="DT7" i="5"/>
  <c r="DU7" i="5"/>
  <c r="DV7" i="5"/>
  <c r="DW7" i="5"/>
  <c r="DX7" i="5"/>
  <c r="DY7" i="5"/>
  <c r="DZ7" i="5"/>
  <c r="EA7" i="5"/>
  <c r="EB7" i="5"/>
  <c r="EC7" i="5"/>
  <c r="ED7" i="5"/>
  <c r="EE7" i="5"/>
  <c r="EF7" i="5"/>
  <c r="EG7" i="5"/>
  <c r="EH7" i="5"/>
  <c r="EI7" i="5"/>
  <c r="EJ7" i="5"/>
  <c r="EK7" i="5"/>
  <c r="EL7" i="5"/>
  <c r="EM7" i="5"/>
  <c r="EN7" i="5"/>
  <c r="EO7" i="5"/>
  <c r="EP7" i="5"/>
  <c r="EQ7" i="5"/>
  <c r="ER7" i="5"/>
  <c r="ES7" i="5"/>
  <c r="ET7" i="5"/>
  <c r="EU7" i="5"/>
  <c r="EV7" i="5"/>
  <c r="EW7" i="5"/>
  <c r="EX7" i="5"/>
  <c r="EY7" i="5"/>
  <c r="EZ7" i="5"/>
  <c r="FA7" i="5"/>
  <c r="FB7" i="5"/>
  <c r="FC7" i="5"/>
  <c r="FD7" i="5"/>
  <c r="FE7" i="5"/>
  <c r="FF7" i="5"/>
  <c r="FG7" i="5"/>
  <c r="FH7" i="5"/>
  <c r="FI7" i="5"/>
  <c r="FJ7" i="5"/>
  <c r="FK7" i="5"/>
  <c r="FL7" i="5"/>
  <c r="FM7" i="5"/>
  <c r="FN7" i="5"/>
  <c r="FO7" i="5"/>
  <c r="FP7" i="5"/>
  <c r="FQ7" i="5"/>
  <c r="FR7" i="5"/>
  <c r="FS7" i="5"/>
  <c r="FT7" i="5"/>
  <c r="FU7" i="5"/>
  <c r="FV7" i="5"/>
  <c r="FW7" i="5"/>
  <c r="FX7" i="5"/>
  <c r="FY7" i="5"/>
  <c r="FZ7" i="5"/>
  <c r="GA7" i="5"/>
  <c r="GB7" i="5"/>
  <c r="GC7" i="5"/>
  <c r="GD7" i="5"/>
  <c r="GE7" i="5"/>
  <c r="GF7" i="5"/>
  <c r="GG7" i="5"/>
  <c r="GH7" i="5"/>
  <c r="GI7" i="5"/>
  <c r="GJ7" i="5"/>
  <c r="GK7" i="5"/>
  <c r="GL7" i="5"/>
  <c r="GM7" i="5"/>
  <c r="GN7" i="5"/>
  <c r="GO7" i="5"/>
  <c r="GP7" i="5"/>
  <c r="GQ7" i="5"/>
  <c r="GR7" i="5"/>
  <c r="GS7" i="5"/>
  <c r="GT7" i="5"/>
  <c r="GU7" i="5"/>
  <c r="GV7" i="5"/>
  <c r="GW7" i="5"/>
  <c r="GX7" i="5"/>
  <c r="GY7" i="5"/>
  <c r="GZ7" i="5"/>
  <c r="HA7" i="5"/>
  <c r="HB7" i="5"/>
  <c r="HC7" i="5"/>
  <c r="HD7" i="5"/>
  <c r="HE7" i="5"/>
  <c r="HF7" i="5"/>
  <c r="HG7" i="5"/>
  <c r="HH7" i="5"/>
  <c r="HI7" i="5"/>
  <c r="HJ7" i="5"/>
  <c r="HK7" i="5"/>
  <c r="HL7" i="5"/>
  <c r="HM7" i="5"/>
  <c r="HN7" i="5"/>
  <c r="HO7" i="5"/>
  <c r="HP7" i="5"/>
  <c r="HQ7" i="5"/>
  <c r="HR7" i="5"/>
  <c r="HS7" i="5"/>
  <c r="HT7" i="5"/>
  <c r="HU7" i="5"/>
  <c r="HV7" i="5"/>
  <c r="HW7" i="5"/>
  <c r="HX7" i="5"/>
  <c r="HY7" i="5"/>
  <c r="HZ7" i="5"/>
  <c r="IA7" i="5"/>
  <c r="IB7" i="5"/>
  <c r="IC7" i="5"/>
  <c r="ID7" i="5"/>
  <c r="IE7" i="5"/>
  <c r="IF7" i="5"/>
  <c r="IG7" i="5"/>
  <c r="IH7" i="5"/>
  <c r="II7" i="5"/>
  <c r="IJ7" i="5"/>
  <c r="IK7" i="5"/>
  <c r="IL7" i="5"/>
  <c r="IM7" i="5"/>
  <c r="IN7" i="5"/>
  <c r="IO7" i="5"/>
  <c r="IP7" i="5"/>
  <c r="IQ7" i="5"/>
  <c r="IR7" i="5"/>
  <c r="IS7" i="5"/>
  <c r="IT7" i="5"/>
  <c r="IU7" i="5"/>
  <c r="IV7" i="5"/>
  <c r="A6" i="5"/>
  <c r="B6" i="5"/>
  <c r="C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BT6"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DA6" i="5"/>
  <c r="DB6" i="5"/>
  <c r="DC6" i="5"/>
  <c r="DD6" i="5"/>
  <c r="DE6" i="5"/>
  <c r="DF6" i="5"/>
  <c r="DG6" i="5"/>
  <c r="DH6" i="5"/>
  <c r="DI6" i="5"/>
  <c r="DJ6" i="5"/>
  <c r="DK6" i="5"/>
  <c r="DL6" i="5"/>
  <c r="DM6" i="5"/>
  <c r="DN6" i="5"/>
  <c r="DO6" i="5"/>
  <c r="DP6" i="5"/>
  <c r="DQ6" i="5"/>
  <c r="DR6" i="5"/>
  <c r="DS6" i="5"/>
  <c r="DT6" i="5"/>
  <c r="DU6" i="5"/>
  <c r="DV6" i="5"/>
  <c r="DW6" i="5"/>
  <c r="DX6" i="5"/>
  <c r="DY6" i="5"/>
  <c r="DZ6" i="5"/>
  <c r="EA6" i="5"/>
  <c r="EB6" i="5"/>
  <c r="EC6" i="5"/>
  <c r="ED6" i="5"/>
  <c r="EE6" i="5"/>
  <c r="EF6" i="5"/>
  <c r="EG6" i="5"/>
  <c r="EH6" i="5"/>
  <c r="EI6" i="5"/>
  <c r="EJ6" i="5"/>
  <c r="EK6" i="5"/>
  <c r="EL6" i="5"/>
  <c r="EM6" i="5"/>
  <c r="EN6" i="5"/>
  <c r="EO6" i="5"/>
  <c r="EP6" i="5"/>
  <c r="EQ6" i="5"/>
  <c r="ER6" i="5"/>
  <c r="ES6" i="5"/>
  <c r="ET6" i="5"/>
  <c r="EU6" i="5"/>
  <c r="EV6" i="5"/>
  <c r="EW6" i="5"/>
  <c r="EX6" i="5"/>
  <c r="EY6" i="5"/>
  <c r="EZ6" i="5"/>
  <c r="FA6" i="5"/>
  <c r="FB6" i="5"/>
  <c r="FC6" i="5"/>
  <c r="FD6" i="5"/>
  <c r="FE6" i="5"/>
  <c r="FF6" i="5"/>
  <c r="FG6" i="5"/>
  <c r="FH6" i="5"/>
  <c r="FI6" i="5"/>
  <c r="FJ6" i="5"/>
  <c r="FK6" i="5"/>
  <c r="FL6" i="5"/>
  <c r="FM6" i="5"/>
  <c r="FN6" i="5"/>
  <c r="FO6" i="5"/>
  <c r="FP6" i="5"/>
  <c r="FQ6" i="5"/>
  <c r="FR6" i="5"/>
  <c r="FS6" i="5"/>
  <c r="FT6" i="5"/>
  <c r="FU6" i="5"/>
  <c r="FV6" i="5"/>
  <c r="FW6" i="5"/>
  <c r="FX6" i="5"/>
  <c r="FY6" i="5"/>
  <c r="FZ6" i="5"/>
  <c r="GA6" i="5"/>
  <c r="GB6" i="5"/>
  <c r="GC6" i="5"/>
  <c r="GD6" i="5"/>
  <c r="GE6" i="5"/>
  <c r="GF6" i="5"/>
  <c r="GG6" i="5"/>
  <c r="GH6" i="5"/>
  <c r="GI6" i="5"/>
  <c r="GJ6" i="5"/>
  <c r="GK6" i="5"/>
  <c r="GL6" i="5"/>
  <c r="GM6" i="5"/>
  <c r="GN6" i="5"/>
  <c r="GO6" i="5"/>
  <c r="GP6" i="5"/>
  <c r="GQ6" i="5"/>
  <c r="GR6" i="5"/>
  <c r="GS6" i="5"/>
  <c r="GT6" i="5"/>
  <c r="GU6" i="5"/>
  <c r="GV6" i="5"/>
  <c r="GW6" i="5"/>
  <c r="GX6" i="5"/>
  <c r="GY6" i="5"/>
  <c r="GZ6" i="5"/>
  <c r="HA6" i="5"/>
  <c r="HB6" i="5"/>
  <c r="HC6" i="5"/>
  <c r="HD6" i="5"/>
  <c r="HE6" i="5"/>
  <c r="HF6" i="5"/>
  <c r="HG6" i="5"/>
  <c r="HH6" i="5"/>
  <c r="HI6" i="5"/>
  <c r="HJ6" i="5"/>
  <c r="HK6" i="5"/>
  <c r="HL6" i="5"/>
  <c r="HM6" i="5"/>
  <c r="HN6" i="5"/>
  <c r="HO6" i="5"/>
  <c r="HP6" i="5"/>
  <c r="HQ6" i="5"/>
  <c r="HR6" i="5"/>
  <c r="HS6" i="5"/>
  <c r="HT6" i="5"/>
  <c r="HU6" i="5"/>
  <c r="HV6" i="5"/>
  <c r="HW6" i="5"/>
  <c r="HX6" i="5"/>
  <c r="HY6" i="5"/>
  <c r="HZ6" i="5"/>
  <c r="IA6" i="5"/>
  <c r="IB6" i="5"/>
  <c r="IC6" i="5"/>
  <c r="ID6" i="5"/>
  <c r="IE6" i="5"/>
  <c r="IF6" i="5"/>
  <c r="IG6" i="5"/>
  <c r="IH6" i="5"/>
  <c r="II6" i="5"/>
  <c r="IJ6" i="5"/>
  <c r="IK6" i="5"/>
  <c r="IL6" i="5"/>
  <c r="IM6" i="5"/>
  <c r="IN6" i="5"/>
  <c r="IO6" i="5"/>
  <c r="IP6" i="5"/>
  <c r="IQ6" i="5"/>
  <c r="IR6" i="5"/>
  <c r="IS6" i="5"/>
  <c r="IT6" i="5"/>
  <c r="IU6" i="5"/>
  <c r="IV6" i="5"/>
  <c r="A5" i="5"/>
  <c r="B5" i="5"/>
  <c r="C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AM5" i="5"/>
  <c r="AN5"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BT5" i="5"/>
  <c r="BU5" i="5"/>
  <c r="BV5" i="5"/>
  <c r="BW5" i="5"/>
  <c r="BX5" i="5"/>
  <c r="BY5" i="5"/>
  <c r="BZ5" i="5"/>
  <c r="CA5" i="5"/>
  <c r="CB5" i="5"/>
  <c r="CC5" i="5"/>
  <c r="CD5" i="5"/>
  <c r="CE5" i="5"/>
  <c r="CF5" i="5"/>
  <c r="CG5" i="5"/>
  <c r="CH5" i="5"/>
  <c r="CI5" i="5"/>
  <c r="CJ5" i="5"/>
  <c r="CK5" i="5"/>
  <c r="CL5" i="5"/>
  <c r="CM5" i="5"/>
  <c r="CN5" i="5"/>
  <c r="CO5" i="5"/>
  <c r="CP5" i="5"/>
  <c r="CQ5" i="5"/>
  <c r="CR5" i="5"/>
  <c r="CS5" i="5"/>
  <c r="CT5" i="5"/>
  <c r="CU5" i="5"/>
  <c r="CV5" i="5"/>
  <c r="CW5" i="5"/>
  <c r="CX5" i="5"/>
  <c r="CY5" i="5"/>
  <c r="CZ5" i="5"/>
  <c r="DA5" i="5"/>
  <c r="DB5" i="5"/>
  <c r="DC5" i="5"/>
  <c r="DD5" i="5"/>
  <c r="DE5" i="5"/>
  <c r="DF5" i="5"/>
  <c r="DG5" i="5"/>
  <c r="DH5" i="5"/>
  <c r="DI5" i="5"/>
  <c r="DJ5" i="5"/>
  <c r="DK5" i="5"/>
  <c r="DL5" i="5"/>
  <c r="DM5" i="5"/>
  <c r="DN5" i="5"/>
  <c r="DO5" i="5"/>
  <c r="DP5" i="5"/>
  <c r="DQ5" i="5"/>
  <c r="DR5" i="5"/>
  <c r="DS5" i="5"/>
  <c r="DT5" i="5"/>
  <c r="DU5" i="5"/>
  <c r="DV5" i="5"/>
  <c r="DW5" i="5"/>
  <c r="DX5" i="5"/>
  <c r="DY5" i="5"/>
  <c r="DZ5" i="5"/>
  <c r="EA5" i="5"/>
  <c r="EB5" i="5"/>
  <c r="EC5" i="5"/>
  <c r="ED5" i="5"/>
  <c r="EE5" i="5"/>
  <c r="EF5" i="5"/>
  <c r="EG5" i="5"/>
  <c r="EH5" i="5"/>
  <c r="EI5" i="5"/>
  <c r="EJ5" i="5"/>
  <c r="EK5" i="5"/>
  <c r="EL5" i="5"/>
  <c r="EM5" i="5"/>
  <c r="EN5" i="5"/>
  <c r="EO5" i="5"/>
  <c r="EP5" i="5"/>
  <c r="EQ5" i="5"/>
  <c r="ER5" i="5"/>
  <c r="ES5" i="5"/>
  <c r="ET5" i="5"/>
  <c r="EU5" i="5"/>
  <c r="EV5" i="5"/>
  <c r="EW5" i="5"/>
  <c r="EX5" i="5"/>
  <c r="EY5" i="5"/>
  <c r="EZ5" i="5"/>
  <c r="FA5" i="5"/>
  <c r="FB5" i="5"/>
  <c r="FC5" i="5"/>
  <c r="FD5" i="5"/>
  <c r="FE5" i="5"/>
  <c r="FF5" i="5"/>
  <c r="FG5" i="5"/>
  <c r="FH5" i="5"/>
  <c r="FI5" i="5"/>
  <c r="FJ5" i="5"/>
  <c r="FK5" i="5"/>
  <c r="FL5" i="5"/>
  <c r="FM5" i="5"/>
  <c r="FN5" i="5"/>
  <c r="FO5" i="5"/>
  <c r="FP5" i="5"/>
  <c r="FQ5" i="5"/>
  <c r="FR5" i="5"/>
  <c r="FS5" i="5"/>
  <c r="FT5" i="5"/>
  <c r="FU5" i="5"/>
  <c r="FV5" i="5"/>
  <c r="FW5" i="5"/>
  <c r="FX5" i="5"/>
  <c r="FY5" i="5"/>
  <c r="FZ5" i="5"/>
  <c r="GA5" i="5"/>
  <c r="GB5" i="5"/>
  <c r="GC5" i="5"/>
  <c r="GD5" i="5"/>
  <c r="GE5" i="5"/>
  <c r="GF5" i="5"/>
  <c r="GG5" i="5"/>
  <c r="GH5" i="5"/>
  <c r="GI5" i="5"/>
  <c r="GJ5" i="5"/>
  <c r="GK5" i="5"/>
  <c r="GL5" i="5"/>
  <c r="GM5" i="5"/>
  <c r="GN5" i="5"/>
  <c r="GO5" i="5"/>
  <c r="GP5" i="5"/>
  <c r="GQ5" i="5"/>
  <c r="GR5" i="5"/>
  <c r="GS5" i="5"/>
  <c r="GT5" i="5"/>
  <c r="GU5" i="5"/>
  <c r="GV5" i="5"/>
  <c r="GW5" i="5"/>
  <c r="GX5" i="5"/>
  <c r="GY5" i="5"/>
  <c r="GZ5" i="5"/>
  <c r="HA5" i="5"/>
  <c r="HB5" i="5"/>
  <c r="HC5" i="5"/>
  <c r="HD5" i="5"/>
  <c r="HE5" i="5"/>
  <c r="HF5" i="5"/>
  <c r="HG5" i="5"/>
  <c r="HH5" i="5"/>
  <c r="HI5" i="5"/>
  <c r="HJ5" i="5"/>
  <c r="HK5" i="5"/>
  <c r="HL5" i="5"/>
  <c r="HM5" i="5"/>
  <c r="HN5" i="5"/>
  <c r="HO5" i="5"/>
  <c r="HP5" i="5"/>
  <c r="HQ5" i="5"/>
  <c r="HR5" i="5"/>
  <c r="HS5" i="5"/>
  <c r="HT5" i="5"/>
  <c r="HU5" i="5"/>
  <c r="HV5" i="5"/>
  <c r="HW5" i="5"/>
  <c r="HX5" i="5"/>
  <c r="HY5" i="5"/>
  <c r="HZ5" i="5"/>
  <c r="IA5" i="5"/>
  <c r="IB5" i="5"/>
  <c r="IC5" i="5"/>
  <c r="ID5" i="5"/>
  <c r="IE5" i="5"/>
  <c r="IF5" i="5"/>
  <c r="IG5" i="5"/>
  <c r="IH5" i="5"/>
  <c r="II5" i="5"/>
  <c r="IJ5" i="5"/>
  <c r="IK5" i="5"/>
  <c r="IL5" i="5"/>
  <c r="IM5" i="5"/>
  <c r="IN5" i="5"/>
  <c r="IO5" i="5"/>
  <c r="IP5" i="5"/>
  <c r="IQ5" i="5"/>
  <c r="IR5" i="5"/>
  <c r="IS5" i="5"/>
  <c r="IT5" i="5"/>
  <c r="IU5" i="5"/>
  <c r="IV5" i="5"/>
  <c r="A4" i="5"/>
  <c r="B4" i="5"/>
  <c r="C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BT4"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DA4" i="5"/>
  <c r="DB4" i="5"/>
  <c r="DC4" i="5"/>
  <c r="DD4" i="5"/>
  <c r="DE4" i="5"/>
  <c r="DF4" i="5"/>
  <c r="DG4" i="5"/>
  <c r="DH4" i="5"/>
  <c r="DI4" i="5"/>
  <c r="DJ4" i="5"/>
  <c r="DK4" i="5"/>
  <c r="DL4" i="5"/>
  <c r="DM4" i="5"/>
  <c r="DN4" i="5"/>
  <c r="DO4" i="5"/>
  <c r="DP4" i="5"/>
  <c r="DQ4" i="5"/>
  <c r="DR4" i="5"/>
  <c r="DS4" i="5"/>
  <c r="DT4" i="5"/>
  <c r="DU4" i="5"/>
  <c r="DV4" i="5"/>
  <c r="DW4" i="5"/>
  <c r="DX4" i="5"/>
  <c r="DY4" i="5"/>
  <c r="DZ4" i="5"/>
  <c r="EA4" i="5"/>
  <c r="EB4" i="5"/>
  <c r="EC4" i="5"/>
  <c r="ED4" i="5"/>
  <c r="EE4" i="5"/>
  <c r="EF4" i="5"/>
  <c r="EG4" i="5"/>
  <c r="EH4" i="5"/>
  <c r="EI4" i="5"/>
  <c r="EJ4" i="5"/>
  <c r="EK4" i="5"/>
  <c r="EL4" i="5"/>
  <c r="EM4" i="5"/>
  <c r="EN4" i="5"/>
  <c r="EO4" i="5"/>
  <c r="EP4" i="5"/>
  <c r="EQ4" i="5"/>
  <c r="ER4" i="5"/>
  <c r="ES4" i="5"/>
  <c r="ET4" i="5"/>
  <c r="EU4" i="5"/>
  <c r="EV4" i="5"/>
  <c r="EW4" i="5"/>
  <c r="EX4" i="5"/>
  <c r="EY4" i="5"/>
  <c r="EZ4" i="5"/>
  <c r="FA4" i="5"/>
  <c r="FB4" i="5"/>
  <c r="FC4" i="5"/>
  <c r="FD4" i="5"/>
  <c r="FE4" i="5"/>
  <c r="FF4" i="5"/>
  <c r="FG4" i="5"/>
  <c r="FH4" i="5"/>
  <c r="FI4" i="5"/>
  <c r="FJ4" i="5"/>
  <c r="FK4" i="5"/>
  <c r="FL4" i="5"/>
  <c r="FM4" i="5"/>
  <c r="FN4" i="5"/>
  <c r="FO4" i="5"/>
  <c r="FP4" i="5"/>
  <c r="FQ4" i="5"/>
  <c r="FR4" i="5"/>
  <c r="FS4" i="5"/>
  <c r="FT4" i="5"/>
  <c r="FU4" i="5"/>
  <c r="FV4" i="5"/>
  <c r="FW4" i="5"/>
  <c r="FX4" i="5"/>
  <c r="FY4" i="5"/>
  <c r="FZ4" i="5"/>
  <c r="GA4" i="5"/>
  <c r="GB4" i="5"/>
  <c r="GC4" i="5"/>
  <c r="GD4" i="5"/>
  <c r="GE4" i="5"/>
  <c r="GF4" i="5"/>
  <c r="GG4" i="5"/>
  <c r="GH4" i="5"/>
  <c r="GI4" i="5"/>
  <c r="GJ4" i="5"/>
  <c r="GK4" i="5"/>
  <c r="GL4" i="5"/>
  <c r="GM4" i="5"/>
  <c r="GN4" i="5"/>
  <c r="GO4" i="5"/>
  <c r="GP4" i="5"/>
  <c r="GQ4" i="5"/>
  <c r="GR4" i="5"/>
  <c r="GS4" i="5"/>
  <c r="GT4" i="5"/>
  <c r="GU4" i="5"/>
  <c r="GV4" i="5"/>
  <c r="GW4" i="5"/>
  <c r="GX4" i="5"/>
  <c r="GY4" i="5"/>
  <c r="GZ4" i="5"/>
  <c r="HA4" i="5"/>
  <c r="HB4" i="5"/>
  <c r="HC4" i="5"/>
  <c r="HD4" i="5"/>
  <c r="HE4" i="5"/>
  <c r="HF4" i="5"/>
  <c r="HG4" i="5"/>
  <c r="HH4" i="5"/>
  <c r="HI4" i="5"/>
  <c r="HJ4" i="5"/>
  <c r="HK4" i="5"/>
  <c r="HL4" i="5"/>
  <c r="HM4" i="5"/>
  <c r="HN4" i="5"/>
  <c r="HO4" i="5"/>
  <c r="HP4" i="5"/>
  <c r="HQ4" i="5"/>
  <c r="HR4" i="5"/>
  <c r="HS4" i="5"/>
  <c r="HT4" i="5"/>
  <c r="HU4" i="5"/>
  <c r="HV4" i="5"/>
  <c r="HW4" i="5"/>
  <c r="HX4" i="5"/>
  <c r="HY4" i="5"/>
  <c r="HZ4" i="5"/>
  <c r="IA4" i="5"/>
  <c r="IB4" i="5"/>
  <c r="IC4" i="5"/>
  <c r="ID4" i="5"/>
  <c r="IE4" i="5"/>
  <c r="IF4" i="5"/>
  <c r="IG4" i="5"/>
  <c r="IH4" i="5"/>
  <c r="II4" i="5"/>
  <c r="IJ4" i="5"/>
  <c r="IK4" i="5"/>
  <c r="IL4" i="5"/>
  <c r="IM4" i="5"/>
  <c r="IN4" i="5"/>
  <c r="IO4" i="5"/>
  <c r="IP4" i="5"/>
  <c r="IQ4" i="5"/>
  <c r="IR4" i="5"/>
  <c r="IS4" i="5"/>
  <c r="IT4" i="5"/>
  <c r="IU4" i="5"/>
  <c r="IV4" i="5"/>
  <c r="B3" i="5"/>
  <c r="C3" i="5"/>
  <c r="D3" i="5"/>
  <c r="E3" i="5"/>
  <c r="F3"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AM3" i="5"/>
  <c r="AN3"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BT3"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DA3" i="5"/>
  <c r="DB3" i="5"/>
  <c r="DC3" i="5"/>
  <c r="DD3" i="5"/>
  <c r="DE3" i="5"/>
  <c r="DF3" i="5"/>
  <c r="DG3" i="5"/>
  <c r="DH3" i="5"/>
  <c r="DI3" i="5"/>
  <c r="DJ3" i="5"/>
  <c r="DK3" i="5"/>
  <c r="DL3" i="5"/>
  <c r="DM3" i="5"/>
  <c r="DN3" i="5"/>
  <c r="DO3" i="5"/>
  <c r="DP3" i="5"/>
  <c r="DQ3" i="5"/>
  <c r="DR3" i="5"/>
  <c r="DS3" i="5"/>
  <c r="DT3" i="5"/>
  <c r="DU3" i="5"/>
  <c r="DV3" i="5"/>
  <c r="DW3" i="5"/>
  <c r="DX3" i="5"/>
  <c r="DY3" i="5"/>
  <c r="DZ3" i="5"/>
  <c r="EA3" i="5"/>
  <c r="EB3" i="5"/>
  <c r="EC3" i="5"/>
  <c r="ED3" i="5"/>
  <c r="EE3" i="5"/>
  <c r="EF3" i="5"/>
  <c r="EG3" i="5"/>
  <c r="EH3" i="5"/>
  <c r="EI3" i="5"/>
  <c r="EJ3" i="5"/>
  <c r="EK3" i="5"/>
  <c r="EL3" i="5"/>
  <c r="EM3" i="5"/>
  <c r="EN3" i="5"/>
  <c r="EO3" i="5"/>
  <c r="EP3" i="5"/>
  <c r="EQ3" i="5"/>
  <c r="ER3" i="5"/>
  <c r="ES3" i="5"/>
  <c r="ET3" i="5"/>
  <c r="EU3" i="5"/>
  <c r="EV3" i="5"/>
  <c r="EW3" i="5"/>
  <c r="EX3" i="5"/>
  <c r="EY3" i="5"/>
  <c r="EZ3" i="5"/>
  <c r="FA3" i="5"/>
  <c r="FB3" i="5"/>
  <c r="FC3" i="5"/>
  <c r="FD3" i="5"/>
  <c r="FE3" i="5"/>
  <c r="FF3" i="5"/>
  <c r="FG3" i="5"/>
  <c r="FH3" i="5"/>
  <c r="FI3" i="5"/>
  <c r="FJ3" i="5"/>
  <c r="FK3" i="5"/>
  <c r="FL3" i="5"/>
  <c r="FM3" i="5"/>
  <c r="FN3" i="5"/>
  <c r="FO3" i="5"/>
  <c r="FP3" i="5"/>
  <c r="FQ3" i="5"/>
  <c r="FR3" i="5"/>
  <c r="FS3" i="5"/>
  <c r="FT3" i="5"/>
  <c r="FU3" i="5"/>
  <c r="FV3" i="5"/>
  <c r="FW3" i="5"/>
  <c r="FX3" i="5"/>
  <c r="FY3" i="5"/>
  <c r="FZ3" i="5"/>
  <c r="GA3" i="5"/>
  <c r="GB3" i="5"/>
  <c r="GC3" i="5"/>
  <c r="GD3" i="5"/>
  <c r="GE3" i="5"/>
  <c r="GF3" i="5"/>
  <c r="GG3" i="5"/>
  <c r="GH3" i="5"/>
  <c r="GI3" i="5"/>
  <c r="GJ3" i="5"/>
  <c r="GK3" i="5"/>
  <c r="GL3" i="5"/>
  <c r="GM3" i="5"/>
  <c r="GN3" i="5"/>
  <c r="GO3" i="5"/>
  <c r="GP3" i="5"/>
  <c r="GQ3" i="5"/>
  <c r="GR3" i="5"/>
  <c r="GS3" i="5"/>
  <c r="GT3" i="5"/>
  <c r="GU3" i="5"/>
  <c r="GV3" i="5"/>
  <c r="GW3" i="5"/>
  <c r="GX3" i="5"/>
  <c r="GY3" i="5"/>
  <c r="GZ3" i="5"/>
  <c r="HA3" i="5"/>
  <c r="HB3" i="5"/>
  <c r="HC3" i="5"/>
  <c r="HD3" i="5"/>
  <c r="HE3" i="5"/>
  <c r="HF3" i="5"/>
  <c r="HG3" i="5"/>
  <c r="HH3" i="5"/>
  <c r="HI3" i="5"/>
  <c r="HJ3" i="5"/>
  <c r="HK3" i="5"/>
  <c r="HL3" i="5"/>
  <c r="HM3" i="5"/>
  <c r="HN3" i="5"/>
  <c r="HO3" i="5"/>
  <c r="HP3" i="5"/>
  <c r="HQ3" i="5"/>
  <c r="HR3" i="5"/>
  <c r="HS3" i="5"/>
  <c r="HT3" i="5"/>
  <c r="HU3" i="5"/>
  <c r="HV3" i="5"/>
  <c r="HW3" i="5"/>
  <c r="HX3" i="5"/>
  <c r="HY3" i="5"/>
  <c r="HZ3" i="5"/>
  <c r="IA3" i="5"/>
  <c r="IB3" i="5"/>
  <c r="IC3" i="5"/>
  <c r="ID3" i="5"/>
  <c r="IE3" i="5"/>
  <c r="IF3" i="5"/>
  <c r="IG3" i="5"/>
  <c r="IH3" i="5"/>
  <c r="II3" i="5"/>
  <c r="IJ3" i="5"/>
  <c r="IK3" i="5"/>
  <c r="IL3" i="5"/>
  <c r="IM3" i="5"/>
  <c r="IN3" i="5"/>
  <c r="IO3" i="5"/>
  <c r="IP3" i="5"/>
  <c r="IQ3" i="5"/>
  <c r="IR3" i="5"/>
  <c r="IS3" i="5"/>
  <c r="IT3" i="5"/>
  <c r="IU3" i="5"/>
  <c r="IV3" i="5"/>
  <c r="A2" i="5"/>
  <c r="B2" i="5"/>
  <c r="C2" i="5"/>
  <c r="D2" i="5"/>
  <c r="E2" i="5"/>
  <c r="F2"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BT2"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DA2" i="5"/>
  <c r="DB2" i="5"/>
  <c r="DC2" i="5"/>
  <c r="DD2" i="5"/>
  <c r="DE2" i="5"/>
  <c r="DF2" i="5"/>
  <c r="DG2" i="5"/>
  <c r="DH2" i="5"/>
  <c r="DI2" i="5"/>
  <c r="DJ2" i="5"/>
  <c r="DK2" i="5"/>
  <c r="DL2" i="5"/>
  <c r="DM2" i="5"/>
  <c r="DN2" i="5"/>
  <c r="DO2" i="5"/>
  <c r="DP2" i="5"/>
  <c r="DQ2" i="5"/>
  <c r="DR2" i="5"/>
  <c r="DS2" i="5"/>
  <c r="DT2" i="5"/>
  <c r="DU2" i="5"/>
  <c r="DV2" i="5"/>
  <c r="DW2" i="5"/>
  <c r="DX2" i="5"/>
  <c r="DY2" i="5"/>
  <c r="DZ2" i="5"/>
  <c r="EA2" i="5"/>
  <c r="EB2" i="5"/>
  <c r="EC2" i="5"/>
  <c r="ED2" i="5"/>
  <c r="EE2" i="5"/>
  <c r="EF2" i="5"/>
  <c r="EG2" i="5"/>
  <c r="EH2" i="5"/>
  <c r="EI2" i="5"/>
  <c r="EJ2" i="5"/>
  <c r="EK2" i="5"/>
  <c r="EL2" i="5"/>
  <c r="EM2" i="5"/>
  <c r="EN2" i="5"/>
  <c r="EO2" i="5"/>
  <c r="EP2" i="5"/>
  <c r="EQ2" i="5"/>
  <c r="ER2" i="5"/>
  <c r="ES2" i="5"/>
  <c r="ET2" i="5"/>
  <c r="EU2" i="5"/>
  <c r="EV2" i="5"/>
  <c r="EW2" i="5"/>
  <c r="EX2" i="5"/>
  <c r="EY2" i="5"/>
  <c r="EZ2" i="5"/>
  <c r="FA2" i="5"/>
  <c r="FB2" i="5"/>
  <c r="FC2" i="5"/>
  <c r="FD2" i="5"/>
  <c r="FE2" i="5"/>
  <c r="FF2" i="5"/>
  <c r="FG2" i="5"/>
  <c r="FH2" i="5"/>
  <c r="FI2" i="5"/>
  <c r="FJ2" i="5"/>
  <c r="FK2" i="5"/>
  <c r="FL2" i="5"/>
  <c r="FM2" i="5"/>
  <c r="FN2" i="5"/>
  <c r="FO2" i="5"/>
  <c r="FP2" i="5"/>
  <c r="FQ2" i="5"/>
  <c r="FR2" i="5"/>
  <c r="FS2" i="5"/>
  <c r="FT2" i="5"/>
  <c r="FU2" i="5"/>
  <c r="FV2" i="5"/>
  <c r="FW2" i="5"/>
  <c r="FX2" i="5"/>
  <c r="FY2" i="5"/>
  <c r="FZ2" i="5"/>
  <c r="GA2" i="5"/>
  <c r="GB2" i="5"/>
  <c r="GC2" i="5"/>
  <c r="GD2" i="5"/>
  <c r="GE2" i="5"/>
  <c r="GF2" i="5"/>
  <c r="GG2" i="5"/>
  <c r="GH2" i="5"/>
  <c r="GI2" i="5"/>
  <c r="GJ2" i="5"/>
  <c r="GK2" i="5"/>
  <c r="GL2" i="5"/>
  <c r="GM2" i="5"/>
  <c r="GN2" i="5"/>
  <c r="GO2" i="5"/>
  <c r="GP2" i="5"/>
  <c r="GQ2" i="5"/>
  <c r="GR2" i="5"/>
  <c r="GS2" i="5"/>
  <c r="GT2" i="5"/>
  <c r="GU2" i="5"/>
  <c r="GV2" i="5"/>
  <c r="GW2" i="5"/>
  <c r="GX2" i="5"/>
  <c r="GY2" i="5"/>
  <c r="GZ2" i="5"/>
  <c r="HA2" i="5"/>
  <c r="HB2" i="5"/>
  <c r="HC2" i="5"/>
  <c r="HD2" i="5"/>
  <c r="HE2" i="5"/>
  <c r="HF2" i="5"/>
  <c r="HG2" i="5"/>
  <c r="HH2" i="5"/>
  <c r="HI2" i="5"/>
  <c r="HJ2" i="5"/>
  <c r="HK2" i="5"/>
  <c r="HL2" i="5"/>
  <c r="HM2" i="5"/>
  <c r="HN2" i="5"/>
  <c r="HO2" i="5"/>
  <c r="HP2" i="5"/>
  <c r="HQ2" i="5"/>
  <c r="HR2" i="5"/>
  <c r="HS2" i="5"/>
  <c r="HT2" i="5"/>
  <c r="HU2" i="5"/>
  <c r="HV2" i="5"/>
  <c r="HW2" i="5"/>
  <c r="HX2" i="5"/>
  <c r="HY2" i="5"/>
  <c r="HZ2" i="5"/>
  <c r="IA2" i="5"/>
  <c r="IB2" i="5"/>
  <c r="IC2" i="5"/>
  <c r="ID2" i="5"/>
  <c r="IE2" i="5"/>
  <c r="IF2" i="5"/>
  <c r="IG2" i="5"/>
  <c r="IH2" i="5"/>
  <c r="II2" i="5"/>
  <c r="IJ2" i="5"/>
  <c r="IK2" i="5"/>
  <c r="IL2" i="5"/>
  <c r="IM2" i="5"/>
  <c r="IN2" i="5"/>
  <c r="IO2" i="5"/>
  <c r="IP2" i="5"/>
  <c r="IQ2" i="5"/>
  <c r="IR2" i="5"/>
  <c r="IS2" i="5"/>
  <c r="IT2" i="5"/>
  <c r="IU2" i="5"/>
  <c r="IV2" i="5"/>
  <c r="A1" i="5"/>
  <c r="B1" i="5"/>
  <c r="C1" i="5"/>
  <c r="D1" i="5"/>
  <c r="E1" i="5"/>
  <c r="F1" i="5"/>
  <c r="G1" i="5"/>
  <c r="H1" i="5"/>
  <c r="I1" i="5"/>
  <c r="J1" i="5"/>
  <c r="K1" i="5"/>
  <c r="L1" i="5"/>
  <c r="M1" i="5"/>
  <c r="N1" i="5"/>
  <c r="O1" i="5"/>
  <c r="P1" i="5"/>
  <c r="Q1" i="5"/>
  <c r="R1" i="5"/>
  <c r="S1" i="5"/>
  <c r="T1" i="5"/>
  <c r="U1" i="5"/>
  <c r="V1" i="5"/>
  <c r="W1" i="5"/>
  <c r="X1" i="5"/>
  <c r="Y1" i="5"/>
  <c r="Z1" i="5"/>
  <c r="AA1" i="5"/>
  <c r="AB1" i="5"/>
  <c r="AC1" i="5"/>
  <c r="AD1" i="5"/>
  <c r="AE1" i="5"/>
  <c r="AF1" i="5"/>
  <c r="AG1" i="5"/>
  <c r="AH1" i="5"/>
  <c r="AI1" i="5"/>
  <c r="AJ1" i="5"/>
  <c r="AK1" i="5"/>
  <c r="AL1" i="5"/>
  <c r="AM1" i="5"/>
  <c r="AN1" i="5"/>
  <c r="AO1" i="5"/>
  <c r="AP1" i="5"/>
  <c r="AQ1" i="5"/>
  <c r="AR1" i="5"/>
  <c r="AS1" i="5"/>
  <c r="AT1" i="5"/>
  <c r="AU1" i="5"/>
  <c r="AV1" i="5"/>
  <c r="AW1" i="5"/>
  <c r="AX1" i="5"/>
  <c r="AY1" i="5"/>
  <c r="AZ1" i="5"/>
  <c r="BA1" i="5"/>
  <c r="BB1" i="5"/>
  <c r="BC1" i="5"/>
  <c r="BD1" i="5"/>
  <c r="BE1" i="5"/>
  <c r="BF1" i="5"/>
  <c r="BG1" i="5"/>
  <c r="BH1" i="5"/>
  <c r="BI1" i="5"/>
  <c r="BJ1" i="5"/>
  <c r="BK1" i="5"/>
  <c r="BL1" i="5"/>
  <c r="BM1" i="5"/>
  <c r="BN1" i="5"/>
  <c r="BO1" i="5"/>
  <c r="BP1" i="5"/>
  <c r="BQ1" i="5"/>
  <c r="BR1" i="5"/>
  <c r="BS1" i="5"/>
  <c r="BT1" i="5"/>
  <c r="BU1" i="5"/>
  <c r="BV1" i="5"/>
  <c r="BW1" i="5"/>
  <c r="BX1" i="5"/>
  <c r="BY1" i="5"/>
  <c r="BZ1" i="5"/>
  <c r="CA1" i="5"/>
  <c r="CB1" i="5"/>
  <c r="CC1" i="5"/>
  <c r="CD1" i="5"/>
  <c r="CE1" i="5"/>
  <c r="CF1" i="5"/>
  <c r="CG1" i="5"/>
  <c r="CH1" i="5"/>
  <c r="CI1" i="5"/>
  <c r="CJ1" i="5"/>
  <c r="CK1" i="5"/>
  <c r="CL1" i="5"/>
  <c r="CM1" i="5"/>
  <c r="CN1" i="5"/>
  <c r="CO1" i="5"/>
  <c r="CP1" i="5"/>
  <c r="CQ1" i="5"/>
  <c r="CR1" i="5"/>
  <c r="CS1" i="5"/>
  <c r="CT1" i="5"/>
  <c r="CU1" i="5"/>
  <c r="CV1" i="5"/>
  <c r="CW1" i="5"/>
  <c r="CX1" i="5"/>
  <c r="CY1" i="5"/>
  <c r="CZ1" i="5"/>
  <c r="DA1" i="5"/>
  <c r="DB1" i="5"/>
  <c r="DC1" i="5"/>
  <c r="DD1" i="5"/>
  <c r="DE1" i="5"/>
  <c r="DF1" i="5"/>
  <c r="DG1" i="5"/>
  <c r="DH1" i="5"/>
  <c r="DI1" i="5"/>
  <c r="DJ1" i="5"/>
  <c r="DK1" i="5"/>
  <c r="DL1" i="5"/>
  <c r="DM1" i="5"/>
  <c r="DN1" i="5"/>
  <c r="DO1" i="5"/>
  <c r="DP1" i="5"/>
  <c r="DQ1" i="5"/>
  <c r="DR1" i="5"/>
  <c r="DS1" i="5"/>
  <c r="DT1" i="5"/>
  <c r="DU1" i="5"/>
  <c r="DV1" i="5"/>
  <c r="DW1" i="5"/>
  <c r="DX1" i="5"/>
  <c r="DY1" i="5"/>
  <c r="DZ1" i="5"/>
  <c r="EA1" i="5"/>
  <c r="EB1" i="5"/>
  <c r="EC1" i="5"/>
  <c r="ED1" i="5"/>
  <c r="EE1" i="5"/>
  <c r="EF1" i="5"/>
  <c r="EG1" i="5"/>
  <c r="EH1" i="5"/>
  <c r="EI1" i="5"/>
  <c r="EJ1" i="5"/>
  <c r="EK1" i="5"/>
  <c r="EL1" i="5"/>
  <c r="EM1" i="5"/>
  <c r="EN1" i="5"/>
  <c r="EO1" i="5"/>
  <c r="EP1" i="5"/>
  <c r="EQ1" i="5"/>
  <c r="ER1" i="5"/>
  <c r="ES1" i="5"/>
  <c r="ET1" i="5"/>
  <c r="EU1" i="5"/>
  <c r="EV1" i="5"/>
  <c r="EW1" i="5"/>
  <c r="EX1" i="5"/>
  <c r="EY1" i="5"/>
  <c r="EZ1" i="5"/>
  <c r="FA1" i="5"/>
  <c r="FB1" i="5"/>
  <c r="FC1" i="5"/>
  <c r="FD1" i="5"/>
  <c r="FE1" i="5"/>
  <c r="FF1" i="5"/>
  <c r="FG1" i="5"/>
  <c r="FH1" i="5"/>
  <c r="FI1" i="5"/>
  <c r="FJ1" i="5"/>
  <c r="FK1" i="5"/>
  <c r="FL1" i="5"/>
  <c r="FM1" i="5"/>
  <c r="FN1" i="5"/>
  <c r="FO1" i="5"/>
  <c r="FP1" i="5"/>
  <c r="FQ1" i="5"/>
  <c r="FR1" i="5"/>
  <c r="FS1" i="5"/>
  <c r="FT1" i="5"/>
  <c r="FU1" i="5"/>
  <c r="FV1" i="5"/>
  <c r="FW1" i="5"/>
  <c r="FX1" i="5"/>
  <c r="FY1" i="5"/>
  <c r="FZ1" i="5"/>
  <c r="GA1" i="5"/>
  <c r="GB1" i="5"/>
  <c r="GC1" i="5"/>
  <c r="GD1" i="5"/>
  <c r="GE1" i="5"/>
  <c r="GF1" i="5"/>
  <c r="GG1" i="5"/>
  <c r="GH1" i="5"/>
  <c r="GI1" i="5"/>
  <c r="GJ1" i="5"/>
  <c r="GK1" i="5"/>
  <c r="GL1" i="5"/>
  <c r="GM1" i="5"/>
  <c r="GN1" i="5"/>
  <c r="GO1" i="5"/>
  <c r="GP1" i="5"/>
  <c r="GQ1" i="5"/>
  <c r="GR1" i="5"/>
  <c r="GS1" i="5"/>
  <c r="GT1" i="5"/>
  <c r="GU1" i="5"/>
  <c r="GV1" i="5"/>
  <c r="GW1" i="5"/>
  <c r="GX1" i="5"/>
  <c r="GY1" i="5"/>
  <c r="GZ1" i="5"/>
  <c r="HA1" i="5"/>
  <c r="HB1" i="5"/>
  <c r="HC1" i="5"/>
  <c r="HD1" i="5"/>
  <c r="HE1" i="5"/>
  <c r="HF1" i="5"/>
  <c r="HG1" i="5"/>
  <c r="HH1" i="5"/>
  <c r="HI1" i="5"/>
  <c r="HJ1" i="5"/>
  <c r="HK1" i="5"/>
  <c r="HL1" i="5"/>
  <c r="HM1" i="5"/>
  <c r="HN1" i="5"/>
  <c r="HO1" i="5"/>
  <c r="HP1" i="5"/>
  <c r="HQ1" i="5"/>
  <c r="HR1" i="5"/>
  <c r="HS1" i="5"/>
  <c r="HT1" i="5"/>
  <c r="HU1" i="5"/>
  <c r="HV1" i="5"/>
  <c r="HW1" i="5"/>
  <c r="HX1" i="5"/>
  <c r="HY1" i="5"/>
  <c r="HZ1" i="5"/>
  <c r="IA1" i="5"/>
  <c r="IB1" i="5"/>
  <c r="IC1" i="5"/>
  <c r="ID1" i="5"/>
  <c r="IE1" i="5"/>
  <c r="IF1" i="5"/>
  <c r="IG1" i="5"/>
  <c r="IH1" i="5"/>
  <c r="II1" i="5"/>
  <c r="IJ1" i="5"/>
  <c r="IK1" i="5"/>
  <c r="IL1" i="5"/>
  <c r="IM1" i="5"/>
  <c r="IN1" i="5"/>
  <c r="IO1" i="5"/>
  <c r="IP1" i="5"/>
  <c r="IQ1" i="5"/>
  <c r="IR1" i="5"/>
  <c r="IS1" i="5"/>
  <c r="IT1" i="5"/>
  <c r="IU1" i="5"/>
  <c r="IV1" i="5"/>
  <c r="B3" i="2"/>
  <c r="C3" i="2"/>
  <c r="B2" i="2"/>
  <c r="C2" i="2"/>
  <c r="C4" i="2"/>
  <c r="B4" i="2"/>
  <c r="B7" i="2" s="1"/>
  <c r="I4" i="2"/>
  <c r="H4" i="2"/>
  <c r="H3" i="2"/>
  <c r="I3" i="2"/>
  <c r="E8" i="1"/>
  <c r="B6" i="2" l="1"/>
  <c r="G8" i="2"/>
  <c r="B9" i="2"/>
  <c r="HB9" i="5" s="1"/>
  <c r="C6" i="2"/>
  <c r="E2" i="2"/>
  <c r="G2" i="2" s="1"/>
  <c r="G3" i="2" s="1"/>
  <c r="C5" i="2"/>
  <c r="G5" i="2"/>
  <c r="B5" i="2"/>
  <c r="E6" i="2" l="1"/>
  <c r="E7" i="2"/>
  <c r="L9" i="2" s="1"/>
  <c r="HL9" i="5" s="1"/>
  <c r="G9" i="2"/>
  <c r="J1" i="2" s="1"/>
  <c r="C7" i="2"/>
  <c r="C9" i="2" s="1"/>
  <c r="HC9" i="5" s="1"/>
  <c r="G4" i="2"/>
  <c r="G11" i="2" s="1"/>
  <c r="I10" i="2"/>
  <c r="I12" i="2" s="1"/>
  <c r="B10" i="1" s="1"/>
  <c r="E5" i="2"/>
  <c r="A12" i="2" s="1"/>
  <c r="B12" i="2" s="1"/>
  <c r="D12" i="2" s="1"/>
  <c r="HG9" i="5" l="1"/>
  <c r="L10" i="2"/>
  <c r="C12" i="2"/>
  <c r="E12" i="2" s="1"/>
  <c r="F12" i="2" s="1"/>
  <c r="G10" i="2"/>
  <c r="G6" i="2" s="1"/>
  <c r="L11" i="2" s="1"/>
  <c r="E9" i="1" s="1"/>
  <c r="D9" i="2"/>
  <c r="HD9" i="5" s="1"/>
  <c r="I11" i="2"/>
  <c r="B9" i="1" s="1"/>
  <c r="E4" i="2"/>
  <c r="A13" i="2" s="1"/>
  <c r="A14" i="2" s="1"/>
  <c r="K4" i="2"/>
  <c r="L4" i="2" s="1"/>
  <c r="K3" i="2"/>
  <c r="L3" i="2" s="1"/>
  <c r="M12" i="2" l="1"/>
  <c r="G10" i="1" s="1"/>
  <c r="G7" i="2"/>
  <c r="M11" i="2" s="1"/>
  <c r="F9" i="1" s="1"/>
  <c r="B13" i="2"/>
  <c r="D13" i="2" s="1"/>
  <c r="C13" i="2"/>
  <c r="E13" i="2" s="1"/>
  <c r="O4" i="2"/>
  <c r="M4" i="2"/>
  <c r="P4" i="2" s="1"/>
  <c r="B14" i="2"/>
  <c r="D14" i="2" s="1"/>
  <c r="A15" i="2"/>
  <c r="C14" i="2"/>
  <c r="E14" i="2" s="1"/>
  <c r="O3" i="2"/>
  <c r="M3" i="2"/>
  <c r="P3" i="2" s="1"/>
  <c r="F13" i="2" l="1"/>
  <c r="K6" i="2"/>
  <c r="L6" i="2" s="1"/>
  <c r="K7" i="2"/>
  <c r="L7" i="2" s="1"/>
  <c r="M7" i="2" s="1"/>
  <c r="P7" i="2" s="1"/>
  <c r="N4" i="2"/>
  <c r="F14" i="2"/>
  <c r="C15" i="2"/>
  <c r="E15" i="2" s="1"/>
  <c r="A16" i="2"/>
  <c r="B15" i="2"/>
  <c r="D15" i="2" s="1"/>
  <c r="K14" i="2" l="1"/>
  <c r="L6" i="1" s="1"/>
  <c r="M6" i="1" s="1"/>
  <c r="O6" i="2"/>
  <c r="K13" i="2"/>
  <c r="K5" i="1" s="1"/>
  <c r="M6" i="2"/>
  <c r="P6" i="2" s="1"/>
  <c r="O7" i="2"/>
  <c r="F15" i="2"/>
  <c r="A17" i="2"/>
  <c r="B16" i="2"/>
  <c r="D16" i="2" s="1"/>
  <c r="C16" i="2"/>
  <c r="E16" i="2" s="1"/>
  <c r="K6" i="1" l="1"/>
  <c r="N6" i="1" s="1"/>
  <c r="M7" i="1"/>
  <c r="L5" i="1"/>
  <c r="M5" i="1"/>
  <c r="N7" i="2"/>
  <c r="F16" i="2"/>
  <c r="C17" i="2"/>
  <c r="E17" i="2" s="1"/>
  <c r="A18" i="2"/>
  <c r="A3" i="5"/>
  <c r="B17" i="2"/>
  <c r="D17" i="2" s="1"/>
  <c r="K7" i="1" l="1"/>
  <c r="L7" i="1"/>
  <c r="N5" i="1"/>
  <c r="N7" i="1" s="1"/>
  <c r="F17" i="2"/>
  <c r="A19" i="2"/>
  <c r="C18" i="2"/>
  <c r="E18" i="2" s="1"/>
  <c r="B18" i="2"/>
  <c r="D18" i="2" s="1"/>
  <c r="C19" i="2" l="1"/>
  <c r="E19" i="2" s="1"/>
  <c r="A20" i="2"/>
  <c r="B19" i="2"/>
  <c r="D19" i="2" s="1"/>
  <c r="F18" i="2"/>
  <c r="C20" i="2" l="1"/>
  <c r="E20" i="2" s="1"/>
  <c r="B20" i="2"/>
  <c r="D20" i="2" s="1"/>
  <c r="A21" i="2"/>
  <c r="F19" i="2"/>
  <c r="C21" i="2" l="1"/>
  <c r="E21" i="2" s="1"/>
  <c r="B21" i="2"/>
  <c r="D21" i="2" s="1"/>
  <c r="A22" i="2"/>
  <c r="F20" i="2"/>
  <c r="A23" i="2" l="1"/>
  <c r="C22" i="2"/>
  <c r="E22" i="2" s="1"/>
  <c r="B22" i="2"/>
  <c r="D22" i="2" s="1"/>
  <c r="F21" i="2"/>
  <c r="F22" i="2" l="1"/>
  <c r="C23" i="2"/>
  <c r="E23" i="2" s="1"/>
  <c r="B23" i="2"/>
  <c r="D23" i="2" s="1"/>
  <c r="A24" i="2"/>
  <c r="F23" i="2" l="1"/>
  <c r="C24" i="2"/>
  <c r="E24" i="2" s="1"/>
  <c r="B24" i="2"/>
  <c r="D24" i="2" s="1"/>
  <c r="A25" i="2"/>
  <c r="C25" i="2" l="1"/>
  <c r="E25" i="2" s="1"/>
  <c r="B25" i="2"/>
  <c r="D25" i="2" s="1"/>
  <c r="A26" i="2"/>
  <c r="F24" i="2"/>
  <c r="F25" i="2" l="1"/>
  <c r="A27" i="2"/>
  <c r="C26" i="2"/>
  <c r="E26" i="2" s="1"/>
  <c r="B26" i="2"/>
  <c r="D26" i="2" s="1"/>
  <c r="F26" i="2" l="1"/>
  <c r="C27" i="2"/>
  <c r="E27" i="2" s="1"/>
  <c r="A28" i="2"/>
  <c r="B27" i="2"/>
  <c r="D27" i="2" s="1"/>
  <c r="C28" i="2" l="1"/>
  <c r="E28" i="2" s="1"/>
  <c r="B28" i="2"/>
  <c r="D28" i="2" s="1"/>
  <c r="A29" i="2"/>
  <c r="F27" i="2"/>
  <c r="F28" i="2" l="1"/>
  <c r="C29" i="2"/>
  <c r="E29" i="2" s="1"/>
  <c r="B29" i="2"/>
  <c r="D29" i="2" s="1"/>
  <c r="A30" i="2"/>
  <c r="F29" i="2" l="1"/>
  <c r="A31" i="2"/>
  <c r="B30" i="2"/>
  <c r="D30" i="2" s="1"/>
  <c r="C30" i="2"/>
  <c r="E30" i="2" s="1"/>
  <c r="F30" i="2" l="1"/>
  <c r="C31" i="2"/>
  <c r="E31" i="2" s="1"/>
  <c r="B31" i="2"/>
  <c r="D31" i="2" s="1"/>
  <c r="A32" i="2"/>
  <c r="F31" i="2" l="1"/>
  <c r="B32" i="2"/>
  <c r="D32" i="2" s="1"/>
  <c r="C32" i="2"/>
  <c r="E32" i="2" s="1"/>
  <c r="A33" i="2"/>
  <c r="C33" i="2" l="1"/>
  <c r="E33" i="2" s="1"/>
  <c r="B33" i="2"/>
  <c r="D33" i="2" s="1"/>
  <c r="A34" i="2"/>
  <c r="F32" i="2"/>
  <c r="A35" i="2" l="1"/>
  <c r="B34" i="2"/>
  <c r="D34" i="2" s="1"/>
  <c r="C34" i="2"/>
  <c r="E34" i="2" s="1"/>
  <c r="F33" i="2"/>
  <c r="F34" i="2" l="1"/>
  <c r="C35" i="2"/>
  <c r="E35" i="2" s="1"/>
  <c r="A36" i="2"/>
  <c r="B35" i="2"/>
  <c r="D35" i="2" s="1"/>
  <c r="F35" i="2" l="1"/>
  <c r="C36" i="2"/>
  <c r="E36" i="2" s="1"/>
  <c r="B36" i="2"/>
  <c r="D36" i="2" s="1"/>
  <c r="A37" i="2"/>
  <c r="F36" i="2" l="1"/>
  <c r="A38" i="2"/>
  <c r="B37" i="2"/>
  <c r="D37" i="2" s="1"/>
  <c r="C37" i="2"/>
  <c r="E37" i="2" s="1"/>
  <c r="F37" i="2" l="1"/>
  <c r="B38" i="2"/>
  <c r="D38" i="2" s="1"/>
  <c r="C38" i="2"/>
  <c r="E38" i="2" s="1"/>
  <c r="A39" i="2"/>
  <c r="F38" i="2" l="1"/>
  <c r="B39" i="2"/>
  <c r="D39" i="2" s="1"/>
  <c r="A40" i="2"/>
  <c r="C39" i="2"/>
  <c r="E39" i="2" s="1"/>
  <c r="F39" i="2" l="1"/>
  <c r="B40" i="2"/>
  <c r="D40" i="2" s="1"/>
  <c r="C40" i="2"/>
  <c r="E40" i="2" s="1"/>
  <c r="A41" i="2"/>
  <c r="F40" i="2" l="1"/>
  <c r="B41" i="2"/>
  <c r="D41" i="2" s="1"/>
  <c r="C41" i="2"/>
  <c r="E41" i="2" s="1"/>
  <c r="A42" i="2"/>
  <c r="F41" i="2" l="1"/>
  <c r="C42" i="2"/>
  <c r="E42" i="2" s="1"/>
  <c r="A43" i="2"/>
  <c r="B42" i="2"/>
  <c r="D42" i="2" s="1"/>
  <c r="C43" i="2" l="1"/>
  <c r="E43" i="2" s="1"/>
  <c r="B43" i="2"/>
  <c r="D43" i="2" s="1"/>
  <c r="A44" i="2"/>
  <c r="F42" i="2"/>
  <c r="A45" i="2" l="1"/>
  <c r="B44" i="2"/>
  <c r="D44" i="2" s="1"/>
  <c r="C44" i="2"/>
  <c r="E44" i="2" s="1"/>
  <c r="F43" i="2"/>
  <c r="F44" i="2" l="1"/>
  <c r="A46" i="2"/>
  <c r="B45" i="2"/>
  <c r="D45" i="2" s="1"/>
  <c r="C45" i="2"/>
  <c r="E45" i="2" s="1"/>
  <c r="F45" i="2" l="1"/>
  <c r="C46" i="2"/>
  <c r="E46" i="2" s="1"/>
  <c r="A47" i="2"/>
  <c r="B46" i="2"/>
  <c r="D46" i="2" s="1"/>
  <c r="A48" i="2" l="1"/>
  <c r="C47" i="2"/>
  <c r="E47" i="2" s="1"/>
  <c r="B47" i="2"/>
  <c r="D47" i="2" s="1"/>
  <c r="F46" i="2"/>
  <c r="F47" i="2" l="1"/>
  <c r="B48" i="2"/>
  <c r="D48" i="2" s="1"/>
  <c r="C48" i="2"/>
  <c r="E48" i="2" s="1"/>
  <c r="A49" i="2"/>
  <c r="F48" i="2" l="1"/>
  <c r="C49" i="2"/>
  <c r="E49" i="2" s="1"/>
  <c r="B49" i="2"/>
  <c r="D49" i="2" s="1"/>
  <c r="A50" i="2"/>
  <c r="A51" i="2" l="1"/>
  <c r="B50" i="2"/>
  <c r="D50" i="2" s="1"/>
  <c r="C50" i="2"/>
  <c r="E50" i="2" s="1"/>
  <c r="F49" i="2"/>
  <c r="F50" i="2" l="1"/>
  <c r="C51" i="2"/>
  <c r="E51" i="2" s="1"/>
  <c r="A52" i="2"/>
  <c r="B51" i="2"/>
  <c r="D51" i="2" s="1"/>
  <c r="F51" i="2" l="1"/>
  <c r="B52" i="2"/>
  <c r="D52" i="2" s="1"/>
  <c r="C52" i="2"/>
  <c r="E52" i="2" s="1"/>
  <c r="A53" i="2"/>
  <c r="F52" i="2" l="1"/>
  <c r="C53" i="2"/>
  <c r="E53" i="2" s="1"/>
  <c r="B53" i="2"/>
  <c r="D53" i="2" s="1"/>
  <c r="A54" i="2"/>
  <c r="F53" i="2" l="1"/>
  <c r="A55" i="2"/>
  <c r="B54" i="2"/>
  <c r="D54" i="2" s="1"/>
  <c r="C54" i="2"/>
  <c r="E54" i="2" s="1"/>
  <c r="F54" i="2" l="1"/>
  <c r="C55" i="2"/>
  <c r="E55" i="2" s="1"/>
  <c r="B55" i="2"/>
  <c r="D55" i="2" s="1"/>
  <c r="A56" i="2"/>
  <c r="F55" i="2" l="1"/>
  <c r="B56" i="2"/>
  <c r="D56" i="2" s="1"/>
  <c r="C56" i="2"/>
  <c r="E56" i="2" s="1"/>
  <c r="A57" i="2"/>
  <c r="F56" i="2" l="1"/>
  <c r="C57" i="2"/>
  <c r="E57" i="2" s="1"/>
  <c r="B57" i="2"/>
  <c r="D57" i="2" s="1"/>
  <c r="A58" i="2"/>
  <c r="A59" i="2" l="1"/>
  <c r="B58" i="2"/>
  <c r="D58" i="2" s="1"/>
  <c r="C58" i="2"/>
  <c r="E58" i="2" s="1"/>
  <c r="F58" i="2" s="1"/>
  <c r="F57" i="2"/>
  <c r="C59" i="2" l="1"/>
  <c r="E59" i="2" s="1"/>
  <c r="A60" i="2"/>
  <c r="B59" i="2"/>
  <c r="D59" i="2" s="1"/>
  <c r="B60" i="2" l="1"/>
  <c r="D60" i="2" s="1"/>
  <c r="C60" i="2"/>
  <c r="E60" i="2" s="1"/>
  <c r="A61" i="2"/>
  <c r="F59" i="2"/>
  <c r="F60" i="2" l="1"/>
  <c r="C61" i="2"/>
  <c r="E61" i="2" s="1"/>
  <c r="B61" i="2"/>
  <c r="D61" i="2" s="1"/>
  <c r="A62" i="2"/>
  <c r="F61" i="2" l="1"/>
  <c r="A63" i="2"/>
  <c r="B62" i="2"/>
  <c r="D62" i="2" s="1"/>
  <c r="C62" i="2"/>
  <c r="E62" i="2" s="1"/>
  <c r="F62" i="2" l="1"/>
  <c r="C63" i="2"/>
  <c r="E63" i="2" s="1"/>
  <c r="B63" i="2"/>
  <c r="D63" i="2" s="1"/>
  <c r="A64" i="2"/>
  <c r="F63" i="2" l="1"/>
  <c r="B64" i="2"/>
  <c r="D64" i="2" s="1"/>
  <c r="C64" i="2"/>
  <c r="E64" i="2" s="1"/>
  <c r="A65" i="2"/>
  <c r="F64" i="2" l="1"/>
  <c r="C65" i="2"/>
  <c r="E65" i="2" s="1"/>
  <c r="B65" i="2"/>
  <c r="D65" i="2" s="1"/>
  <c r="A66" i="2"/>
  <c r="F65" i="2" l="1"/>
  <c r="A67" i="2"/>
  <c r="B66" i="2"/>
  <c r="D66" i="2" s="1"/>
  <c r="C66" i="2"/>
  <c r="E66" i="2" s="1"/>
  <c r="F66" i="2" l="1"/>
  <c r="C67" i="2"/>
  <c r="E67" i="2" s="1"/>
  <c r="A68" i="2"/>
  <c r="B67" i="2"/>
  <c r="D67" i="2" s="1"/>
  <c r="B68" i="2" l="1"/>
  <c r="D68" i="2" s="1"/>
  <c r="C68" i="2"/>
  <c r="E68" i="2" s="1"/>
  <c r="A69" i="2"/>
  <c r="F67" i="2"/>
  <c r="F68" i="2" l="1"/>
  <c r="C69" i="2"/>
  <c r="E69" i="2" s="1"/>
  <c r="B69" i="2"/>
  <c r="D69" i="2" s="1"/>
  <c r="A70" i="2"/>
  <c r="A71" i="2" l="1"/>
  <c r="B70" i="2"/>
  <c r="D70" i="2" s="1"/>
  <c r="C70" i="2"/>
  <c r="E70" i="2" s="1"/>
  <c r="F69" i="2"/>
  <c r="F70" i="2" l="1"/>
  <c r="C71" i="2"/>
  <c r="E71" i="2" s="1"/>
  <c r="B71" i="2"/>
  <c r="D71" i="2" s="1"/>
  <c r="A72" i="2"/>
  <c r="F71" i="2" l="1"/>
  <c r="B72" i="2"/>
  <c r="D72" i="2" s="1"/>
  <c r="C72" i="2"/>
  <c r="E72" i="2" s="1"/>
  <c r="A73" i="2"/>
  <c r="F72" i="2" l="1"/>
  <c r="C73" i="2"/>
  <c r="E73" i="2" s="1"/>
  <c r="B73" i="2"/>
  <c r="D73" i="2" s="1"/>
  <c r="A74" i="2"/>
  <c r="F73" i="2" l="1"/>
  <c r="A75" i="2"/>
  <c r="B74" i="2"/>
  <c r="D74" i="2" s="1"/>
  <c r="C74" i="2"/>
  <c r="E74" i="2" l="1"/>
  <c r="F74" i="2" s="1"/>
  <c r="C7" i="5"/>
  <c r="B75" i="2"/>
  <c r="D75" i="2" s="1"/>
  <c r="A76" i="2"/>
  <c r="C75" i="2"/>
  <c r="E75" i="2" s="1"/>
  <c r="F75" i="2" l="1"/>
  <c r="A77" i="2"/>
  <c r="C76" i="2"/>
  <c r="E76" i="2" s="1"/>
  <c r="B76" i="2"/>
  <c r="D76" i="2" s="1"/>
  <c r="F76" i="2" l="1"/>
  <c r="A78" i="2"/>
  <c r="C77" i="2"/>
  <c r="E77" i="2" s="1"/>
  <c r="B77" i="2"/>
  <c r="D77" i="2" s="1"/>
  <c r="F77" i="2" l="1"/>
  <c r="A79" i="2"/>
  <c r="C78" i="2"/>
  <c r="E78" i="2" s="1"/>
  <c r="B78" i="2"/>
  <c r="D78" i="2" s="1"/>
  <c r="F78" i="2" l="1"/>
  <c r="B79" i="2"/>
  <c r="D79" i="2" s="1"/>
  <c r="A80" i="2"/>
  <c r="C79" i="2"/>
  <c r="E79" i="2" s="1"/>
  <c r="F79" i="2" l="1"/>
  <c r="A81" i="2"/>
  <c r="C80" i="2"/>
  <c r="E80" i="2" s="1"/>
  <c r="B80" i="2"/>
  <c r="D80" i="2" s="1"/>
  <c r="F80" i="2" l="1"/>
  <c r="A82" i="2"/>
  <c r="B81" i="2"/>
  <c r="D81" i="2" s="1"/>
  <c r="C81" i="2"/>
  <c r="E81" i="2" s="1"/>
  <c r="F81" i="2" l="1"/>
  <c r="A83" i="2"/>
  <c r="B82" i="2"/>
  <c r="D82" i="2" s="1"/>
  <c r="C82" i="2"/>
  <c r="E82" i="2" s="1"/>
  <c r="F82" i="2" s="1"/>
  <c r="B83" i="2" l="1"/>
  <c r="D83" i="2" s="1"/>
  <c r="A84" i="2"/>
  <c r="C83" i="2"/>
  <c r="E83" i="2" s="1"/>
  <c r="F83" i="2" l="1"/>
  <c r="C84" i="2"/>
  <c r="E84" i="2" s="1"/>
  <c r="A85" i="2"/>
  <c r="B84" i="2"/>
  <c r="D84" i="2" s="1"/>
  <c r="B85" i="2" l="1"/>
  <c r="D85" i="2" s="1"/>
  <c r="C85" i="2"/>
  <c r="E85" i="2" s="1"/>
  <c r="A86" i="2"/>
  <c r="F84" i="2"/>
  <c r="F85" i="2" l="1"/>
  <c r="A87" i="2"/>
  <c r="C86" i="2"/>
  <c r="E86" i="2" s="1"/>
  <c r="B86" i="2"/>
  <c r="D86" i="2" s="1"/>
  <c r="F86" i="2" l="1"/>
  <c r="B87" i="2"/>
  <c r="D87" i="2" s="1"/>
  <c r="A88" i="2"/>
  <c r="C87" i="2"/>
  <c r="E87" i="2" s="1"/>
  <c r="F87" i="2" s="1"/>
  <c r="C88" i="2" l="1"/>
  <c r="E88" i="2" s="1"/>
  <c r="A89" i="2"/>
  <c r="B88" i="2"/>
  <c r="D88" i="2" s="1"/>
  <c r="B89" i="2" l="1"/>
  <c r="D89" i="2" s="1"/>
  <c r="C89" i="2"/>
  <c r="E89" i="2" s="1"/>
  <c r="A90" i="2"/>
  <c r="F88" i="2"/>
  <c r="F89" i="2" l="1"/>
  <c r="A91" i="2"/>
  <c r="C90" i="2"/>
  <c r="E90" i="2" s="1"/>
  <c r="B90" i="2"/>
  <c r="D90" i="2" s="1"/>
  <c r="F90" i="2" l="1"/>
  <c r="B91" i="2"/>
  <c r="D91" i="2" s="1"/>
  <c r="C91" i="2"/>
  <c r="E91" i="2" s="1"/>
  <c r="A92" i="2"/>
  <c r="C92" i="2" l="1"/>
  <c r="E92" i="2" s="1"/>
  <c r="A93" i="2"/>
  <c r="B92" i="2"/>
  <c r="D92" i="2" s="1"/>
  <c r="F91" i="2"/>
  <c r="F92" i="2" l="1"/>
  <c r="B93" i="2"/>
  <c r="D93" i="2" s="1"/>
  <c r="C93" i="2"/>
  <c r="E93" i="2" s="1"/>
  <c r="F93" i="2" s="1"/>
  <c r="A94" i="2"/>
  <c r="A95" i="2" l="1"/>
  <c r="C94" i="2"/>
  <c r="E94" i="2" s="1"/>
  <c r="B94" i="2"/>
  <c r="D94" i="2" s="1"/>
  <c r="B95" i="2" l="1"/>
  <c r="D95" i="2" s="1"/>
  <c r="A96" i="2"/>
  <c r="C95" i="2"/>
  <c r="E95" i="2" s="1"/>
  <c r="F94" i="2"/>
  <c r="F95" i="2" l="1"/>
  <c r="C96" i="2"/>
  <c r="E96" i="2" s="1"/>
  <c r="A97" i="2"/>
  <c r="B96" i="2"/>
  <c r="D96" i="2" s="1"/>
  <c r="B97" i="2" l="1"/>
  <c r="D97" i="2" s="1"/>
  <c r="C97" i="2"/>
  <c r="E97" i="2" s="1"/>
  <c r="A98" i="2"/>
  <c r="F96" i="2"/>
  <c r="A99" i="2" l="1"/>
  <c r="C98" i="2"/>
  <c r="E98" i="2" s="1"/>
  <c r="B98" i="2"/>
  <c r="D98" i="2" s="1"/>
  <c r="F97" i="2"/>
  <c r="B99" i="2" l="1"/>
  <c r="D99" i="2" s="1"/>
  <c r="A100" i="2"/>
  <c r="C99" i="2"/>
  <c r="E99" i="2" s="1"/>
  <c r="F98" i="2"/>
  <c r="F99" i="2" l="1"/>
  <c r="C100" i="2"/>
  <c r="E100" i="2" s="1"/>
  <c r="A101" i="2"/>
  <c r="B100" i="2"/>
  <c r="D100" i="2" s="1"/>
  <c r="B101" i="2" l="1"/>
  <c r="D101" i="2" s="1"/>
  <c r="C101" i="2"/>
  <c r="E101" i="2" s="1"/>
  <c r="A102" i="2"/>
  <c r="F100" i="2"/>
  <c r="A103" i="2" l="1"/>
  <c r="C102" i="2"/>
  <c r="E102" i="2" s="1"/>
  <c r="B102" i="2"/>
  <c r="D102" i="2" s="1"/>
  <c r="F101" i="2"/>
  <c r="B103" i="2" l="1"/>
  <c r="D103" i="2" s="1"/>
  <c r="A104" i="2"/>
  <c r="C103" i="2"/>
  <c r="E103" i="2" s="1"/>
  <c r="F102" i="2"/>
  <c r="F103" i="2" l="1"/>
  <c r="C104" i="2"/>
  <c r="E104" i="2" s="1"/>
  <c r="A105" i="2"/>
  <c r="B104" i="2"/>
  <c r="D104" i="2" s="1"/>
  <c r="F104" i="2" l="1"/>
  <c r="B105" i="2"/>
  <c r="D105" i="2" s="1"/>
  <c r="C105" i="2"/>
  <c r="E105" i="2" s="1"/>
  <c r="F105" i="2" s="1"/>
  <c r="A106" i="2"/>
  <c r="A107" i="2" l="1"/>
  <c r="C106" i="2"/>
  <c r="E106" i="2" s="1"/>
  <c r="B106" i="2"/>
  <c r="D106" i="2" s="1"/>
  <c r="B107" i="2" l="1"/>
  <c r="D107" i="2" s="1"/>
  <c r="A108" i="2"/>
  <c r="C107" i="2"/>
  <c r="E107" i="2" s="1"/>
  <c r="F106" i="2"/>
  <c r="F107" i="2" l="1"/>
  <c r="C108" i="2"/>
  <c r="E108" i="2" s="1"/>
  <c r="A109" i="2"/>
  <c r="B108" i="2"/>
  <c r="D108" i="2" s="1"/>
  <c r="B109" i="2" l="1"/>
  <c r="D109" i="2" s="1"/>
  <c r="C109" i="2"/>
  <c r="E109" i="2" s="1"/>
  <c r="A110" i="2"/>
  <c r="F108" i="2"/>
  <c r="F109" i="2" l="1"/>
  <c r="A111" i="2"/>
  <c r="C110" i="2"/>
  <c r="E110" i="2" s="1"/>
  <c r="B110" i="2"/>
  <c r="D110" i="2" s="1"/>
  <c r="F110" i="2" l="1"/>
  <c r="C111" i="2"/>
  <c r="E111" i="2" s="1"/>
  <c r="A112" i="2"/>
  <c r="B111" i="2"/>
  <c r="D111" i="2" s="1"/>
  <c r="B112" i="2" l="1"/>
  <c r="D112" i="2" s="1"/>
  <c r="C112" i="2"/>
  <c r="E112" i="2" s="1"/>
  <c r="F111" i="2"/>
  <c r="F112" i="2" l="1"/>
</calcChain>
</file>

<file path=xl/comments1.xml><?xml version="1.0" encoding="utf-8"?>
<comments xmlns="http://schemas.openxmlformats.org/spreadsheetml/2006/main">
  <authors>
    <author>Dale Berger</author>
  </authors>
  <commentList>
    <comment ref="H3" authorId="0">
      <text>
        <r>
          <rPr>
            <sz val="12"/>
            <color indexed="81"/>
            <rFont val="Tahoma"/>
            <family val="2"/>
          </rPr>
          <t xml:space="preserve">
The utility of classifying a case correctly must be larger than the utility of classifying that case incorrectly.</t>
        </r>
        <r>
          <rPr>
            <sz val="8"/>
            <color indexed="81"/>
            <rFont val="Tahoma"/>
            <family val="2"/>
          </rPr>
          <t xml:space="preserve">
</t>
        </r>
        <r>
          <rPr>
            <sz val="12"/>
            <color indexed="81"/>
            <rFont val="Tahoma"/>
            <family val="2"/>
          </rPr>
          <t xml:space="preserve">
Suggestions for assigning utility can be found on the HELP page.</t>
        </r>
      </text>
    </comment>
    <comment ref="F4" authorId="0">
      <text>
        <r>
          <rPr>
            <sz val="12"/>
            <color indexed="81"/>
            <rFont val="Tahoma"/>
            <family val="2"/>
          </rPr>
          <t xml:space="preserve">
Base rate is the relative  number in each population.
This can be the total N for each population, or the number of cases out of 100 that are in each group. 
Enter as the number out of 100 rather than a proportion (i.e.., use 90 rather than .90). </t>
        </r>
        <r>
          <rPr>
            <sz val="8"/>
            <color indexed="81"/>
            <rFont val="Tahoma"/>
            <family val="2"/>
          </rPr>
          <t xml:space="preserve"> 
</t>
        </r>
      </text>
    </comment>
    <comment ref="H5" authorId="0">
      <text>
        <r>
          <rPr>
            <sz val="12"/>
            <color indexed="81"/>
            <rFont val="Tahoma"/>
            <family val="2"/>
          </rPr>
          <t>Utility of classifying an actual Group 1 case correctly as Group 1.</t>
        </r>
        <r>
          <rPr>
            <sz val="8"/>
            <color indexed="81"/>
            <rFont val="Tahoma"/>
            <family val="2"/>
          </rPr>
          <t xml:space="preserve">
</t>
        </r>
      </text>
    </comment>
    <comment ref="I5" authorId="0">
      <text>
        <r>
          <rPr>
            <sz val="12"/>
            <color indexed="81"/>
            <rFont val="Tahoma"/>
            <family val="2"/>
          </rPr>
          <t>Utility of classifying an actual Group 1 case incorrectly as Group 2.</t>
        </r>
        <r>
          <rPr>
            <b/>
            <sz val="8"/>
            <color indexed="81"/>
            <rFont val="Tahoma"/>
            <family val="2"/>
          </rPr>
          <t xml:space="preserve">
</t>
        </r>
        <r>
          <rPr>
            <sz val="8"/>
            <color indexed="81"/>
            <rFont val="Tahoma"/>
            <family val="2"/>
          </rPr>
          <t xml:space="preserve">
</t>
        </r>
      </text>
    </comment>
    <comment ref="K5" authorId="0">
      <text>
        <r>
          <rPr>
            <sz val="12"/>
            <color indexed="81"/>
            <rFont val="Tahoma"/>
            <family val="2"/>
          </rPr>
          <t>The expected number of Actual Group 1 cases from Group 1 Base Rate correctly classified as Group 1.</t>
        </r>
        <r>
          <rPr>
            <sz val="8"/>
            <color indexed="81"/>
            <rFont val="Tahoma"/>
            <family val="2"/>
          </rPr>
          <t xml:space="preserve">
</t>
        </r>
      </text>
    </comment>
    <comment ref="L5" authorId="0">
      <text>
        <r>
          <rPr>
            <sz val="12"/>
            <color indexed="81"/>
            <rFont val="Tahoma"/>
            <family val="2"/>
          </rPr>
          <t>The expected number of Actual Group 1 cases from Group 1 Base Rate incorrectly classified as Group 2.</t>
        </r>
        <r>
          <rPr>
            <sz val="8"/>
            <color indexed="81"/>
            <rFont val="Tahoma"/>
            <family val="2"/>
          </rPr>
          <t xml:space="preserve">
</t>
        </r>
      </text>
    </comment>
    <comment ref="M5" authorId="0">
      <text>
        <r>
          <rPr>
            <sz val="12"/>
            <color indexed="81"/>
            <rFont val="Tahoma"/>
            <family val="2"/>
          </rPr>
          <t>Expected proportion of Actual Group 1 cases correctly classified as Group 1.</t>
        </r>
      </text>
    </comment>
    <comment ref="N5" authorId="0">
      <text>
        <r>
          <rPr>
            <sz val="12"/>
            <color indexed="81"/>
            <rFont val="Tahoma"/>
            <family val="2"/>
          </rPr>
          <t>Expected utility from classification of Actual Group 1 cases.</t>
        </r>
        <r>
          <rPr>
            <sz val="8"/>
            <color indexed="81"/>
            <rFont val="Tahoma"/>
            <family val="2"/>
          </rPr>
          <t xml:space="preserve">
</t>
        </r>
      </text>
    </comment>
    <comment ref="H6" authorId="0">
      <text>
        <r>
          <rPr>
            <sz val="12"/>
            <color indexed="81"/>
            <rFont val="Tahoma"/>
            <family val="2"/>
          </rPr>
          <t>Utility of classifying an actual Group 2 case incorrectly as Group 1.</t>
        </r>
        <r>
          <rPr>
            <b/>
            <sz val="8"/>
            <color indexed="81"/>
            <rFont val="Tahoma"/>
            <family val="2"/>
          </rPr>
          <t xml:space="preserve">
</t>
        </r>
        <r>
          <rPr>
            <sz val="8"/>
            <color indexed="81"/>
            <rFont val="Tahoma"/>
            <family val="2"/>
          </rPr>
          <t xml:space="preserve">
</t>
        </r>
      </text>
    </comment>
    <comment ref="I6" authorId="0">
      <text>
        <r>
          <rPr>
            <sz val="12"/>
            <color indexed="81"/>
            <rFont val="Tahoma"/>
            <family val="2"/>
          </rPr>
          <t xml:space="preserve">Utility of classifying an actual Group 2 case correctly as Group 2.
</t>
        </r>
        <r>
          <rPr>
            <sz val="8"/>
            <color indexed="81"/>
            <rFont val="Tahoma"/>
            <family val="2"/>
          </rPr>
          <t xml:space="preserve">
</t>
        </r>
      </text>
    </comment>
    <comment ref="K6" authorId="0">
      <text>
        <r>
          <rPr>
            <sz val="12"/>
            <color indexed="81"/>
            <rFont val="Tahoma"/>
            <family val="2"/>
          </rPr>
          <t>The expected number of Actual Group 2 cases from Group 2 Base Rate incorrectly classified as Group 1.</t>
        </r>
        <r>
          <rPr>
            <sz val="8"/>
            <color indexed="81"/>
            <rFont val="Tahoma"/>
            <family val="2"/>
          </rPr>
          <t xml:space="preserve">
</t>
        </r>
      </text>
    </comment>
    <comment ref="L6" authorId="0">
      <text>
        <r>
          <rPr>
            <sz val="12"/>
            <color indexed="81"/>
            <rFont val="Tahoma"/>
            <family val="2"/>
          </rPr>
          <t>The expected number of Actual Group 2 cases from Group 2 Base Rate correctly classified as Group 2.</t>
        </r>
      </text>
    </comment>
    <comment ref="M6" authorId="0">
      <text>
        <r>
          <rPr>
            <sz val="12"/>
            <color indexed="81"/>
            <rFont val="Tahoma"/>
            <family val="2"/>
          </rPr>
          <t>Expected proportion of Actual Group 2 cases correctly classified as Group 2.</t>
        </r>
        <r>
          <rPr>
            <sz val="8"/>
            <color indexed="81"/>
            <rFont val="Tahoma"/>
            <family val="2"/>
          </rPr>
          <t xml:space="preserve">
</t>
        </r>
      </text>
    </comment>
    <comment ref="N6" authorId="0">
      <text>
        <r>
          <rPr>
            <sz val="12"/>
            <color indexed="81"/>
            <rFont val="Tahoma"/>
            <family val="2"/>
          </rPr>
          <t>Expected utility from classification of Actual Group 2 cases.</t>
        </r>
        <r>
          <rPr>
            <sz val="8"/>
            <color indexed="81"/>
            <rFont val="Tahoma"/>
            <family val="2"/>
          </rPr>
          <t xml:space="preserve">
</t>
        </r>
      </text>
    </comment>
    <comment ref="K7" authorId="0">
      <text>
        <r>
          <rPr>
            <sz val="12"/>
            <color indexed="81"/>
            <rFont val="Tahoma"/>
            <family val="2"/>
          </rPr>
          <t>The expected number of cases classified as Group 1, from the sum of Group 1 and Group 2 base rates.</t>
        </r>
        <r>
          <rPr>
            <sz val="8"/>
            <color indexed="81"/>
            <rFont val="Tahoma"/>
            <family val="2"/>
          </rPr>
          <t xml:space="preserve">
</t>
        </r>
      </text>
    </comment>
    <comment ref="L7" authorId="0">
      <text>
        <r>
          <rPr>
            <sz val="12"/>
            <color indexed="81"/>
            <rFont val="Tahoma"/>
            <family val="2"/>
          </rPr>
          <t>The expected number of cases classified as Group 2, from the sum of Group 1 and Group 2 base rates.</t>
        </r>
        <r>
          <rPr>
            <sz val="8"/>
            <color indexed="81"/>
            <rFont val="Tahoma"/>
            <family val="2"/>
          </rPr>
          <t xml:space="preserve">
</t>
        </r>
      </text>
    </comment>
    <comment ref="M7" authorId="0">
      <text>
        <r>
          <rPr>
            <sz val="12"/>
            <color indexed="81"/>
            <rFont val="Tahoma"/>
            <family val="2"/>
          </rPr>
          <t xml:space="preserve">
Expected proportion of all cases classified correctly.</t>
        </r>
        <r>
          <rPr>
            <sz val="8"/>
            <color indexed="81"/>
            <rFont val="Tahoma"/>
            <family val="2"/>
          </rPr>
          <t xml:space="preserve">
</t>
        </r>
      </text>
    </comment>
    <comment ref="N7" authorId="0">
      <text>
        <r>
          <rPr>
            <sz val="12"/>
            <color indexed="81"/>
            <rFont val="Tahoma"/>
            <family val="2"/>
          </rPr>
          <t xml:space="preserve">Expected total utility from classification using the cut point(s).
</t>
        </r>
      </text>
    </comment>
  </commentList>
</comments>
</file>

<file path=xl/comments2.xml><?xml version="1.0" encoding="utf-8"?>
<comments xmlns="http://schemas.openxmlformats.org/spreadsheetml/2006/main">
  <authors>
    <author>Dale Berger</author>
  </authors>
  <commentList>
    <comment ref="B2" authorId="0">
      <text>
        <r>
          <rPr>
            <b/>
            <sz val="10"/>
            <color indexed="81"/>
            <rFont val="Tahoma"/>
            <family val="2"/>
          </rPr>
          <t xml:space="preserve">
UTIL </t>
        </r>
        <r>
          <rPr>
            <sz val="10"/>
            <color indexed="81"/>
            <rFont val="Tahoma"/>
            <family val="2"/>
          </rPr>
          <t>provides a decision rule for classifying cases into one of two groups, based on a test score.</t>
        </r>
        <r>
          <rPr>
            <b/>
            <sz val="10"/>
            <color indexed="81"/>
            <rFont val="Tahoma"/>
            <family val="2"/>
          </rPr>
          <t xml:space="preserve"> 
UTIL </t>
        </r>
        <r>
          <rPr>
            <sz val="10"/>
            <color indexed="81"/>
            <rFont val="Tahoma"/>
            <family val="2"/>
          </rPr>
          <t>provides a cutting score or cutting scores to maximize expected utility of the decision rule.
Utility refers to the costs and benefits of the various possible outcomes of classification (e.g., erroneously classifying a case from Group 1 into Group 2, or correctly classifying a case into Group 1).
UTIL also considers base rates for the two populations, the population means, and the population standard deviations.
Limitations: The calculations are based on population values, not sample values, and the population distributions are assumed to be normal. Results from UTIL may not be accurate if the distributions are not normal, or if input values are incorrect.
The user assumes full responsibility for any application of this program. UTIL is a tool to assist thinking; it is not a substitute for thinking.  -- but it is pretty cool!</t>
        </r>
      </text>
    </comment>
    <comment ref="B4" authorId="0">
      <text>
        <r>
          <rPr>
            <sz val="8"/>
            <color indexed="81"/>
            <rFont val="Tahoma"/>
            <family val="2"/>
          </rPr>
          <t xml:space="preserve">
</t>
        </r>
        <r>
          <rPr>
            <sz val="10"/>
            <color indexed="81"/>
            <rFont val="Tahoma"/>
            <family val="2"/>
          </rPr>
          <t>Please send comments, suggestions, and any error reports to   dale.berger@cgu.edu
I believe the program to be accurate for normally distributed data, but please check results to verify accuracy in your application. The user assumes full responsibility for applications of the program.</t>
        </r>
        <r>
          <rPr>
            <sz val="8"/>
            <color indexed="81"/>
            <rFont val="Tahoma"/>
            <family val="2"/>
          </rPr>
          <t xml:space="preserve">
Dale Berger 
Psychology Department 
Claremont Graduate University 
123 East Eighth Street 
Claremont, CA  91711 
(September 2011)</t>
        </r>
      </text>
    </comment>
    <comment ref="B5" authorId="0">
      <text>
        <r>
          <rPr>
            <sz val="10"/>
            <color indexed="81"/>
            <rFont val="Tahoma"/>
            <family val="2"/>
          </rPr>
          <t xml:space="preserve">
</t>
        </r>
        <r>
          <rPr>
            <b/>
            <sz val="10"/>
            <color indexed="81"/>
            <rFont val="Tahoma"/>
            <family val="2"/>
          </rPr>
          <t>Input</t>
        </r>
        <r>
          <rPr>
            <sz val="10"/>
            <color indexed="81"/>
            <rFont val="Tahoma"/>
            <family val="2"/>
          </rPr>
          <t xml:space="preserve"> is placed into the light blue boxes. The user must provide the following information:
1. Means and standard deviations for the test scores for the two groups.
2. Base rates for the two groups in the population to which the program is applied.
3. Utility for the four possible outcomes of classification of cases into the two groups.
</t>
        </r>
        <r>
          <rPr>
            <b/>
            <sz val="10"/>
            <color indexed="81"/>
            <rFont val="Tahoma"/>
            <family val="2"/>
          </rPr>
          <t>Output</t>
        </r>
        <r>
          <rPr>
            <sz val="10"/>
            <color indexed="81"/>
            <rFont val="Tahoma"/>
            <family val="2"/>
          </rPr>
          <t xml:space="preserve"> is presented in the yellow boxes and in the graphs.
For the number of cases indicated in the Base Rate for each Actual Group, the output shows the number predicted to be in each of the two groups, and the proportion of correct classifications for each actual group. The right-most column shows the utility for classification of cases from each actual group, and the Total Utility.
The Decision Rule shows any cut point(s) and the classification rule. Sometimes cut points fall outside of possible observed data. Cut points are accurate for normal distributions. Cut points outside of the range of possible scores probably can be safely ignored if the population distributions are normal, because the proportion of cases in the extreme tails is very small.
The graph of the Raw Distributions ignores base rates and utility, while the Weighted Distributions graph is weighted by base rates and utility.</t>
        </r>
      </text>
    </comment>
    <comment ref="B6" authorId="0">
      <text>
        <r>
          <rPr>
            <sz val="10"/>
            <color indexed="81"/>
            <rFont val="Tahoma"/>
            <family val="2"/>
          </rPr>
          <t xml:space="preserve">
</t>
        </r>
        <r>
          <rPr>
            <b/>
            <sz val="10"/>
            <color indexed="81"/>
            <rFont val="Tahoma"/>
            <family val="2"/>
          </rPr>
          <t>This program:</t>
        </r>
        <r>
          <rPr>
            <sz val="10"/>
            <color indexed="81"/>
            <rFont val="Tahoma"/>
            <family val="2"/>
          </rPr>
          <t xml:space="preserve">
Berger, D. E. (2011). UTIL (Version 2.1) [Excel spreadsheet program]. Retrieved (date goes here) from http://wise.cgu.edu. 
</t>
        </r>
        <r>
          <rPr>
            <b/>
            <sz val="10"/>
            <color indexed="81"/>
            <rFont val="Tahoma"/>
            <family val="2"/>
          </rPr>
          <t>Research article describing an earlier version of the program:</t>
        </r>
        <r>
          <rPr>
            <sz val="10"/>
            <color indexed="81"/>
            <rFont val="Tahoma"/>
            <family val="2"/>
          </rPr>
          <t xml:space="preserve">
Berger, D. E. &amp; Tsujimoto, R. N. (1983). UTIL: A Basic program for determining optimal cutting scores adjusted for base rates and classification utility.</t>
        </r>
        <r>
          <rPr>
            <i/>
            <sz val="10"/>
            <color indexed="81"/>
            <rFont val="Tahoma"/>
            <family val="2"/>
          </rPr>
          <t xml:space="preserve"> Educational and Psychological Measurement, 43,</t>
        </r>
        <r>
          <rPr>
            <sz val="10"/>
            <color indexed="81"/>
            <rFont val="Tahoma"/>
            <family val="2"/>
          </rPr>
          <t xml:space="preserve"> 173-175.
[Abstract:  An interactive menu-driven BASIC program calculates the cutting score or scores for classifying cases into two groups to maximize classification utility. The user can specify base rates, means, and variances on the test score distributions, as well as the utility for each possible decision outcome. An interactive feature facilitates sensitivity analyses.]
</t>
        </r>
        <r>
          <rPr>
            <b/>
            <sz val="10"/>
            <color indexed="81"/>
            <rFont val="Tahoma"/>
            <family val="2"/>
          </rPr>
          <t>Source of key algorithms:</t>
        </r>
        <r>
          <rPr>
            <sz val="10"/>
            <color indexed="81"/>
            <rFont val="Tahoma"/>
            <family val="2"/>
          </rPr>
          <t xml:space="preserve">
Rorer, L. G., Hoffman, P. J., &amp; Hsieh, K. C. (1966). Utilities as base-rate multipliers in the determination of optimum cutting scores for the discrimination of groups of unequal size and variance. </t>
        </r>
        <r>
          <rPr>
            <i/>
            <sz val="10"/>
            <color indexed="81"/>
            <rFont val="Tahoma"/>
            <family val="2"/>
          </rPr>
          <t>Journal of Applied Psychology, 50,</t>
        </r>
        <r>
          <rPr>
            <sz val="10"/>
            <color indexed="81"/>
            <rFont val="Tahoma"/>
            <family val="2"/>
          </rPr>
          <t xml:space="preserve"> 364-368.</t>
        </r>
      </text>
    </comment>
    <comment ref="B8" authorId="0">
      <text>
        <r>
          <rPr>
            <sz val="8"/>
            <color indexed="81"/>
            <rFont val="Tahoma"/>
            <family val="2"/>
          </rPr>
          <t xml:space="preserve">
</t>
        </r>
        <r>
          <rPr>
            <sz val="10"/>
            <color indexed="81"/>
            <rFont val="Tahoma"/>
            <family val="2"/>
          </rPr>
          <t>When we use a score from a test to classify a case into one of two groups, there are four possible outcomes, each of which may have a different cost or benefit. Utility is a numerical value for this cost or benefit. 
1|1  Correctly classify a case into Group 1 when it actually is from Group 1.
1|2  Incorrectly classify a case into Group 1 when it actually is from Group 2.
2|1  Incorrectly classify a case into Group 2 when it actually is from Group 1.
2|2  Correctly classify a case into Group 2 when it actually is from Group 2.
Our decision rule is influenced by the utility or value of each of the four possible outcomes. For example, if it is extremely costly to classify a Group 2 case into Group 1 (i.e., 1|2 error), then we may be more willing to classify ambiguous cases into Group 2 to avoid this error.
In some cases, we can determine a monetary value for each outcome. However, often it is necessary to use subjective judgments to assign utility values.</t>
        </r>
      </text>
    </comment>
    <comment ref="D8" authorId="0">
      <text>
        <r>
          <rPr>
            <sz val="12"/>
            <color indexed="81"/>
            <rFont val="Tahoma"/>
            <family val="2"/>
          </rPr>
          <t xml:space="preserve">
In all three A scenarios, assume the population means are 100 and 110 for Groups 1 and 2, and the SDs are 10 and 8, respectively.
A1: The base rates are 90 and 10 for Groups 1 and 2, respectively, and the utility for a correct decision is +1 and for an incorrect decision is -1 for both groups. 
A2: The base rates are 50:50. The utility for classifying a Group 1 case as Group 1 is +10 while the utility of classifying a Group 2 case correctly is +1 and the utility of misclassifying a case from either group is -1.
A3: The base rates are 50:50. The utility for classifying a Group 1 case as Group 2 is -10 while the utility of classifying a Group 2 case incorrectly is -1, and the utility of correctly classifying a case from either group is +1. 
In each of these A scenarios, maximum utility is attained by classifying all cases at Group 1.</t>
        </r>
      </text>
    </comment>
    <comment ref="B9" authorId="0">
      <text>
        <r>
          <rPr>
            <sz val="10"/>
            <color indexed="81"/>
            <rFont val="Tahoma"/>
            <family val="2"/>
          </rPr>
          <t xml:space="preserve">
Ideally, we are able to assign a common metric, such as a monetary value, to each outcome. However, utility values often are difficult to determine. They may be quite subjective, with different people assigning different utility values.
Here is an approach that may help you generate utility values.
1. Assign a score of +10 to the outcome with the greatest value or utility. This will either be the outcome of correctly assigning a Group 1 case to Group 1, or assigning a Group 2 case to Group 2.
2. Assign a negative score for the worst outcome (most negative utility). This will be either the error of assigning a Group 1 case to Group 2, or assigning a Group 2 case to Group 1. Consider how negative the outcome is relative to the positive outcome that was assigned +10 in Step 1.
3. Place each of the other two outcomes on this scale. The two correct decisions may have equal utility, and the two error outcome may have equal utility.
4. Review the relative placement of all four outcomes and make any adjustments. The utility of a correct decision must be greater than the utility of an incorrect decision for each case.
5. (Optional) You can rescale utility values by subtracting the same number from all four or by dividing each utility value by the same number. 
6. If you wish to combine scores from different raters, you may wish to adjust scores so as to give every rater approximately equal influence on the final Average Utility scores (described in Combining raters).</t>
        </r>
      </text>
    </comment>
    <comment ref="D9" authorId="0">
      <text>
        <r>
          <rPr>
            <sz val="12"/>
            <color indexed="81"/>
            <rFont val="Tahoma"/>
            <family val="2"/>
          </rPr>
          <t xml:space="preserve">
Three factors can contribute to a scenario where maximum utility is attained by classifying all cases into one group:
1. If the base rate is much larger for one group than for the other;
2. If the cost is much greater for misclassifying a case in one group than misclassifying a member of the other group; and
3. If the value of correctly classifying a member of one group is much greater than the value of correctly classifying a member of the other group.
In each scenario the SD is larger for the group into which all cases are classified.</t>
        </r>
      </text>
    </comment>
    <comment ref="B10" authorId="0">
      <text>
        <r>
          <rPr>
            <sz val="10"/>
            <color indexed="81"/>
            <rFont val="Tahoma"/>
            <family val="2"/>
          </rPr>
          <t xml:space="preserve">
Suppose we have a test to identify whether or not an employee is under the influence of marijuana. The test produces a normal distribution of scores for people who are not under the influence (Group 1) and for people who are under the influence (Group 2), though the two distributions may differ in their mean and standard deviation.
1. Identify the most positive outcome, and assign it a Utility = +10.  In our example, we decide that the outcome with greatest utility is to correctly identify someone who is under the influence of marijuana. Thus, we assign Utility = +10 for the outcome 2|2.
2. Identify the most negative (costly) outcome, and assign it a negative value on the same scale. In our example, perhaps the most costly outcome would be to fail to detect someone who is under the influence. We may consider this to be twice as costly as the utility of detecting someone under the influence. Thus, we assign Utility = -20 to the outcome 1|2.
3. Perhaps we are less concerned with correct classification of people who are not under the influence. Correctly classifying someone as not under the influence might be viewed as Utility = +2 for outcome 1|1.
4. Depending on the consequences of classifying a 'clean' person as under the influence, this may be a costly error or a less costly error. If we follow the first positive test result with more diagnostic procedures before taking action, there may be relatively little cost to outcome 2|1, so we might assign Utility = -4 to outcome 2|1.  
The decision rule will not be affected if we modify the utility values by  adding a constant to each, or if we divide each by the same number. Thus, we could divide all of our utility numbers by 2, and use utility scores of +5, -10, 1, and  -2,  respectively.
</t>
        </r>
        <r>
          <rPr>
            <sz val="8"/>
            <color indexed="81"/>
            <rFont val="Tahoma"/>
            <family val="2"/>
          </rPr>
          <t xml:space="preserve">
</t>
        </r>
      </text>
    </comment>
    <comment ref="B11" authorId="0">
      <text>
        <r>
          <rPr>
            <sz val="10"/>
            <color indexed="81"/>
            <rFont val="Tahoma"/>
            <family val="2"/>
          </rPr>
          <t xml:space="preserve">
If we wish to combine utility estimates from several people, it is important to adjust the values to give all raters approximately equal influence on the Average Utility values. 
To make an adjustment that gives roughly equal influence, divide each of the four raw utility scores for each rater by the sum of the absolute values for the four utility values for that rater.
See the example for a demonstration of the calculations.
</t>
        </r>
      </text>
    </comment>
    <comment ref="D11" authorId="0">
      <text>
        <r>
          <rPr>
            <sz val="12"/>
            <color indexed="81"/>
            <rFont val="Tahoma"/>
            <family val="2"/>
          </rPr>
          <t xml:space="preserve">
The means are 100 and 110 for Groups 1 and 2, respectively, the base rates are 60:40, and both SDs are 10.  The utility of a correct classification is +1 and the utility of an incorrect classification is -1 for both groups.
Cases with scores greater than 109.05 are classified as Group 2; below 109.05 are classified as Group 1.</t>
        </r>
        <r>
          <rPr>
            <sz val="8"/>
            <color indexed="81"/>
            <rFont val="Tahoma"/>
            <family val="2"/>
          </rPr>
          <t xml:space="preserve">
</t>
        </r>
      </text>
    </comment>
    <comment ref="B12" authorId="0">
      <text>
        <r>
          <rPr>
            <sz val="10"/>
            <color indexed="81"/>
            <rFont val="Tahoma"/>
            <family val="2"/>
          </rPr>
          <t xml:space="preserve">
Example: Two raters use a diagnostic test to identify truck drivers who are likely to be using drugs.
The symbol  -|+  indicates a negative test result for someone who is using drugs, while +|- indicates a positive test result for someone not using drugs. Two raters agree that failing to detect a drug user (-|+) is more serious than falsely identifying a nonuser as a likely user (+|-), but Rater B believes that both errors are more serious and nearly equal in importance.
Rater A gives us Utility values of +10, +2, -4, and -20 for +|+, -|-, +|- , and -|+ outcomes.
Rater B gives values of +10, 0, -20, -25 for these outcomes in the same order.
For Rater A, the sum of absolute values is  10 + 2 + 4 + 20 = 36. Adjusted scores are 10/36 = .27778, 2/36 = .05556, -4/36 = -.11111, and -20/36 = -.55556.
For Rater B, the sum of absolute values is  10 + 0 + 20 + 25 = 55. Adjusted scores are 10/55 = .18182, 0, -20/55 = -.36364, and -25/55 = -.45455.
Be careful to assure that all averaged weights are for the same outcome. 
Outcome         Raw Utility     Adjusted Utility    Average 
Test|Actual     A        B            A           B         Utility   
-----------------------------------------------------------------
   +|+            +10   +10      .27778   .18182       .230
    -| -            +  2       0      .05556    .00000      .028
   +| -             -  4    -20     -.11111   -.36364    -.237
   - |+            - 20    -25     -.55556   -.45455     -.505
-----------------------------------------------------------------</t>
        </r>
      </text>
    </comment>
    <comment ref="D12" authorId="0">
      <text>
        <r>
          <rPr>
            <sz val="12"/>
            <color indexed="81"/>
            <rFont val="Tahoma"/>
            <family val="2"/>
          </rPr>
          <t xml:space="preserve">
If the standard deviations are equal in the two populations, there will always be exactly one theoretical cut point. However, if the cut point is outside of the range of observed values, all observed cases will be classified into one group.</t>
        </r>
        <r>
          <rPr>
            <sz val="8"/>
            <color indexed="81"/>
            <rFont val="Tahoma"/>
            <family val="2"/>
          </rPr>
          <t xml:space="preserve">
</t>
        </r>
      </text>
    </comment>
    <comment ref="B14" authorId="0">
      <text>
        <r>
          <rPr>
            <sz val="10"/>
            <color indexed="81"/>
            <rFont val="Tahoma"/>
            <family val="2"/>
          </rPr>
          <t xml:space="preserve">
Base Rates refers to the relative frequency of the two groups in the population for which we make judgments.
Base rates can have a tremendous impact on our classification rules. For example, if relatively few cases are in Group 2, then we will tend to assign more cases to Group 1 compared to a situation where the two groups are more evenly divided.
We may even find that we have maximum utility when we classify all new cases into the larger group.
Base rates can be designated as the total number of cases in the two populations, if those numbers are known, or as the number expected in each group out of 100 or 1000 new cases.</t>
        </r>
        <r>
          <rPr>
            <sz val="8"/>
            <color indexed="81"/>
            <rFont val="Tahoma"/>
            <family val="2"/>
          </rPr>
          <t xml:space="preserve">
</t>
        </r>
      </text>
    </comment>
    <comment ref="D14" authorId="0">
      <text>
        <r>
          <rPr>
            <sz val="12"/>
            <color indexed="81"/>
            <rFont val="Tahoma"/>
            <family val="2"/>
          </rPr>
          <t xml:space="preserve">
The means are 100 and 110 for Groups 1 and 2, the SDs are 10 and 4,respectively, and the base rates are 60:40.  The utility of a correct classification is +1 and the utility of an incorrect classification is -1 for both groups.
Cases with scores between 105.4 and 118.4 are classified as Group 2; all other cases are classified as Group 1.</t>
        </r>
      </text>
    </comment>
    <comment ref="D15" authorId="0">
      <text>
        <r>
          <rPr>
            <sz val="12"/>
            <color indexed="81"/>
            <rFont val="Tahoma"/>
            <family val="2"/>
          </rPr>
          <t xml:space="preserve">
If the SD is much smaller for one group, cases in that group are clustered more tightly around their group mean. Thus, scores close to that group mean are relatively more likely to come from that group, while scores farther from that group mean are much less likely to come from that group. One or both of the cut points may fall outside of the range of observed data, in which case it will have no predictive value. Also, if base rates or utilities are extreme, as in Scenario A, there may be no cut point. </t>
        </r>
      </text>
    </comment>
    <comment ref="B16" authorId="0">
      <text>
        <r>
          <rPr>
            <sz val="8"/>
            <color indexed="81"/>
            <rFont val="Tahoma"/>
            <family val="2"/>
          </rPr>
          <t xml:space="preserve">
</t>
        </r>
        <r>
          <rPr>
            <b/>
            <sz val="12"/>
            <color indexed="81"/>
            <rFont val="Tahoma"/>
            <family val="2"/>
          </rPr>
          <t xml:space="preserve">A key assumption is that test scores are normally distributed within each group. </t>
        </r>
        <r>
          <rPr>
            <sz val="8"/>
            <color indexed="81"/>
            <rFont val="Tahoma"/>
            <family val="2"/>
          </rPr>
          <t xml:space="preserve">
</t>
        </r>
        <r>
          <rPr>
            <sz val="10"/>
            <color indexed="81"/>
            <rFont val="Tahoma"/>
            <family val="2"/>
          </rPr>
          <t xml:space="preserve">
Recommendation: Plot out available data for each group. If there is an indication that the populations may not be normally distributed, the results of this program probably will not be accurate. 
It may be possible to transform data to attain reasonably normal population distributions.
If the distribution is smooth with positive skew, a square root or log transformation may be helpful.
If the distribution has negative skew, as with a ceiling effect, the distribution can be reversed before a square root or log transform is applied. If the maximum possible score on the test is 100 and the minimum is 1, the distribution can be reversed by subtracting every score from 101, the sum of the maximum and minimum scores.  Thus, a score of 100 becomes 101 - 100 = 1 and a score of 1 becomes 101 - 1 = 100.
In SPSS:  COMPUTE NEWVAR = LN(101 - OLDVAR).   where 101 is the sum of the maximum and minumum possible values for the old score.
Note that the direction of NEWVAR is opposite to that of OLDVAR.
Accuracy of classification also depends on the accuracy of estimates of base rates, means, standard deviations, and utility.</t>
        </r>
      </text>
    </comment>
  </commentList>
</comments>
</file>

<file path=xl/sharedStrings.xml><?xml version="1.0" encoding="utf-8"?>
<sst xmlns="http://schemas.openxmlformats.org/spreadsheetml/2006/main" count="93" uniqueCount="72">
  <si>
    <t>Actual Group 1</t>
  </si>
  <si>
    <t>Actual Group 2</t>
  </si>
  <si>
    <t>Mean</t>
  </si>
  <si>
    <t>SD</t>
  </si>
  <si>
    <t>Base Rate</t>
  </si>
  <si>
    <t>Group 1</t>
  </si>
  <si>
    <t>Group 2</t>
  </si>
  <si>
    <t>U</t>
  </si>
  <si>
    <t>Utility</t>
  </si>
  <si>
    <t>density</t>
  </si>
  <si>
    <t>mean</t>
  </si>
  <si>
    <t>L</t>
  </si>
  <si>
    <t>X</t>
  </si>
  <si>
    <t>N</t>
  </si>
  <si>
    <t>Interval</t>
  </si>
  <si>
    <t>Adj density</t>
  </si>
  <si>
    <t>Weight</t>
  </si>
  <si>
    <t>Solver</t>
  </si>
  <si>
    <t>XL</t>
  </si>
  <si>
    <t>XR</t>
  </si>
  <si>
    <t>Lower X</t>
  </si>
  <si>
    <t>Upper X</t>
  </si>
  <si>
    <t>U =</t>
  </si>
  <si>
    <t>K</t>
  </si>
  <si>
    <t>XS</t>
  </si>
  <si>
    <t>XM</t>
  </si>
  <si>
    <t>C1</t>
  </si>
  <si>
    <t>C2</t>
  </si>
  <si>
    <t>N correct</t>
  </si>
  <si>
    <t>N Error</t>
  </si>
  <si>
    <t>Utility Table</t>
  </si>
  <si>
    <t>If 2 cuts:</t>
  </si>
  <si>
    <t>Cum %</t>
  </si>
  <si>
    <t>Interval %</t>
  </si>
  <si>
    <t>G1</t>
  </si>
  <si>
    <t>G2</t>
  </si>
  <si>
    <t>CL</t>
  </si>
  <si>
    <t>CU</t>
  </si>
  <si>
    <t>C</t>
  </si>
  <si>
    <t>Utility of Classifying as</t>
  </si>
  <si>
    <t>Total</t>
  </si>
  <si>
    <t>Decision Rule:</t>
  </si>
  <si>
    <t>correct</t>
  </si>
  <si>
    <t>Proportion</t>
  </si>
  <si>
    <t>Predicted</t>
  </si>
  <si>
    <t xml:space="preserve">1 Cut = </t>
  </si>
  <si>
    <t>Relative W</t>
  </si>
  <si>
    <t>Correct N2 =</t>
  </si>
  <si>
    <t>Correct N1 =</t>
  </si>
  <si>
    <t>If 0 cuts:</t>
  </si>
  <si>
    <t>Send comments to dale.berger@cgu.edu</t>
  </si>
  <si>
    <t xml:space="preserve">   Combining raters</t>
  </si>
  <si>
    <t>Base Rates</t>
  </si>
  <si>
    <t xml:space="preserve">   Assigning Utility </t>
  </si>
  <si>
    <t>Assumptions</t>
  </si>
  <si>
    <t xml:space="preserve">   Using UTIL</t>
  </si>
  <si>
    <t>What does UTIL do?</t>
  </si>
  <si>
    <t xml:space="preserve">       Example</t>
  </si>
  <si>
    <t>(Click UTIL tab at bottom to access the program.)</t>
  </si>
  <si>
    <t>If S1=S2 and M1=M2</t>
  </si>
  <si>
    <t xml:space="preserve">   Citations</t>
  </si>
  <si>
    <t>(Use the scroll bar on the right if you can't see the entire comment.)</t>
  </si>
  <si>
    <t>UTIL 2.1</t>
  </si>
  <si>
    <t>About UTIL 2.1</t>
  </si>
  <si>
    <t>AAAAAHOz/OE=</t>
  </si>
  <si>
    <t>Scenario A: No cut points</t>
  </si>
  <si>
    <t>Scenario B: One cut point</t>
  </si>
  <si>
    <t xml:space="preserve">   Explanation B</t>
  </si>
  <si>
    <t>Scenario C: Two cut points</t>
  </si>
  <si>
    <t xml:space="preserve">   Explanation C</t>
  </si>
  <si>
    <t xml:space="preserve">   Explanation A</t>
  </si>
  <si>
    <t>(Place cursor over red triangles to open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</si>
</sst>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0"/>
    <numFmt numFmtId="167" formatCode="0.0000000"/>
    <numFmt numFmtId="168" formatCode="0.00000"/>
  </numFmts>
  <fonts count="24" x14ac:knownFonts="1">
    <font>
      <sz val="10"/>
      <name val="Arial"/>
    </font>
    <font>
      <sz val="16"/>
      <name val="Arial"/>
      <family val="2"/>
    </font>
    <font>
      <sz val="8"/>
      <name val="Arial"/>
      <family val="2"/>
    </font>
    <font>
      <sz val="10"/>
      <name val="Arial"/>
      <family val="2"/>
    </font>
    <font>
      <sz val="10"/>
      <color indexed="10"/>
      <name val="Arial"/>
      <family val="2"/>
    </font>
    <font>
      <sz val="10"/>
      <color indexed="12"/>
      <name val="Arial"/>
      <family val="2"/>
    </font>
    <font>
      <sz val="8"/>
      <color indexed="81"/>
      <name val="Tahoma"/>
      <family val="2"/>
    </font>
    <font>
      <b/>
      <sz val="8"/>
      <color indexed="81"/>
      <name val="Tahoma"/>
      <family val="2"/>
    </font>
    <font>
      <b/>
      <sz val="10"/>
      <name val="Arial"/>
      <family val="2"/>
    </font>
    <font>
      <sz val="10"/>
      <color indexed="16"/>
      <name val="Arial"/>
      <family val="2"/>
    </font>
    <font>
      <sz val="10"/>
      <color indexed="14"/>
      <name val="Arial"/>
      <family val="2"/>
    </font>
    <font>
      <sz val="14"/>
      <name val="Arial"/>
      <family val="2"/>
    </font>
    <font>
      <b/>
      <sz val="14"/>
      <name val="Arial"/>
      <family val="2"/>
    </font>
    <font>
      <sz val="10"/>
      <color indexed="9"/>
      <name val="Arial"/>
      <family val="2"/>
    </font>
    <font>
      <b/>
      <sz val="10"/>
      <color indexed="81"/>
      <name val="Tahoma"/>
      <family val="2"/>
    </font>
    <font>
      <sz val="10"/>
      <color indexed="81"/>
      <name val="Tahoma"/>
      <family val="2"/>
    </font>
    <font>
      <sz val="12"/>
      <color indexed="81"/>
      <name val="Tahoma"/>
      <family val="2"/>
    </font>
    <font>
      <b/>
      <sz val="12"/>
      <color indexed="81"/>
      <name val="Tahoma"/>
      <family val="2"/>
    </font>
    <font>
      <b/>
      <sz val="10"/>
      <color rgb="FFC00000"/>
      <name val="Arial"/>
      <family val="2"/>
    </font>
    <font>
      <b/>
      <sz val="10"/>
      <color theme="3" tint="-0.249977111117893"/>
      <name val="Arial"/>
      <family val="2"/>
    </font>
    <font>
      <sz val="10"/>
      <color theme="0"/>
      <name val="Arial"/>
      <family val="2"/>
    </font>
    <font>
      <b/>
      <sz val="10"/>
      <color theme="0"/>
      <name val="Arial"/>
      <family val="2"/>
    </font>
    <font>
      <sz val="12"/>
      <color rgb="FFFF0000"/>
      <name val="Arial"/>
      <family val="2"/>
    </font>
    <font>
      <i/>
      <sz val="10"/>
      <color indexed="81"/>
      <name val="Tahoma"/>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0" fillId="0" borderId="0" xfId="0" applyAlignment="1">
      <alignment horizontal="center"/>
    </xf>
    <xf numFmtId="164" fontId="0" fillId="0" borderId="0" xfId="0" applyNumberFormat="1"/>
    <xf numFmtId="167" fontId="1" fillId="0" borderId="0" xfId="0" applyNumberFormat="1" applyFont="1"/>
    <xf numFmtId="167" fontId="0" fillId="0" borderId="0" xfId="0" applyNumberFormat="1"/>
    <xf numFmtId="0" fontId="4" fillId="0" borderId="0" xfId="0" applyFont="1"/>
    <xf numFmtId="0" fontId="5" fillId="0" borderId="0" xfId="0" applyFont="1"/>
    <xf numFmtId="0" fontId="9" fillId="0" borderId="0" xfId="0" applyFont="1"/>
    <xf numFmtId="0" fontId="0" fillId="2" borderId="1" xfId="0" applyFill="1" applyBorder="1"/>
    <xf numFmtId="0" fontId="0" fillId="2" borderId="2" xfId="0" applyFill="1" applyBorder="1"/>
    <xf numFmtId="167" fontId="0" fillId="2" borderId="2" xfId="0" applyNumberFormat="1" applyFill="1" applyBorder="1"/>
    <xf numFmtId="167" fontId="0" fillId="2" borderId="3" xfId="0" applyNumberFormat="1" applyFill="1" applyBorder="1"/>
    <xf numFmtId="0" fontId="0" fillId="2" borderId="4" xfId="0" applyFill="1" applyBorder="1"/>
    <xf numFmtId="0" fontId="0" fillId="2" borderId="5" xfId="0" applyFill="1" applyBorder="1"/>
    <xf numFmtId="167" fontId="0" fillId="2" borderId="5" xfId="0" applyNumberFormat="1" applyFill="1" applyBorder="1"/>
    <xf numFmtId="167" fontId="0" fillId="2" borderId="6" xfId="0" applyNumberFormat="1" applyFill="1" applyBorder="1"/>
    <xf numFmtId="0" fontId="1" fillId="0" borderId="0" xfId="0" applyFont="1" applyBorder="1"/>
    <xf numFmtId="2" fontId="0" fillId="2" borderId="7" xfId="0" applyNumberFormat="1" applyFill="1" applyBorder="1"/>
    <xf numFmtId="165" fontId="0" fillId="2" borderId="7" xfId="0" applyNumberFormat="1" applyFill="1" applyBorder="1"/>
    <xf numFmtId="165" fontId="8" fillId="2" borderId="7" xfId="0" applyNumberFormat="1" applyFont="1" applyFill="1" applyBorder="1"/>
    <xf numFmtId="2" fontId="0" fillId="2" borderId="2" xfId="0" applyNumberFormat="1" applyFill="1" applyBorder="1"/>
    <xf numFmtId="0" fontId="10" fillId="0" borderId="0" xfId="0" applyFont="1"/>
    <xf numFmtId="0" fontId="11" fillId="0" borderId="0" xfId="0" applyFont="1"/>
    <xf numFmtId="167" fontId="11" fillId="0" borderId="0" xfId="0" applyNumberFormat="1" applyFont="1"/>
    <xf numFmtId="0" fontId="0" fillId="3" borderId="7" xfId="0" applyFill="1" applyBorder="1" applyAlignment="1" applyProtection="1">
      <alignment horizontal="center"/>
      <protection locked="0"/>
    </xf>
    <xf numFmtId="0" fontId="0" fillId="0" borderId="0" xfId="0" applyProtection="1">
      <protection hidden="1"/>
    </xf>
    <xf numFmtId="0" fontId="13" fillId="0" borderId="0" xfId="0" applyFont="1" applyProtection="1">
      <protection hidden="1"/>
    </xf>
    <xf numFmtId="0" fontId="0" fillId="3" borderId="0" xfId="0" applyFill="1"/>
    <xf numFmtId="0" fontId="12" fillId="3" borderId="0" xfId="0" applyFont="1" applyFill="1"/>
    <xf numFmtId="167" fontId="3" fillId="0" borderId="0" xfId="0" applyNumberFormat="1" applyFont="1"/>
    <xf numFmtId="0" fontId="3" fillId="0" borderId="0" xfId="0" applyFont="1" applyAlignment="1">
      <alignment horizontal="center"/>
    </xf>
    <xf numFmtId="0" fontId="8" fillId="0" borderId="0" xfId="0" applyFont="1"/>
    <xf numFmtId="0" fontId="18" fillId="0" borderId="0" xfId="0" applyFont="1" applyAlignment="1">
      <alignment horizontal="right"/>
    </xf>
    <xf numFmtId="0" fontId="19" fillId="0" borderId="0" xfId="0" applyFont="1" applyAlignment="1">
      <alignment horizontal="right" vertical="center"/>
    </xf>
    <xf numFmtId="0" fontId="0" fillId="0" borderId="0" xfId="0" applyAlignment="1">
      <alignment horizontal="right"/>
    </xf>
    <xf numFmtId="0" fontId="3" fillId="3" borderId="7" xfId="0" applyNumberFormat="1" applyFont="1" applyFill="1" applyBorder="1" applyAlignment="1" applyProtection="1">
      <alignment horizontal="center"/>
      <protection locked="0"/>
    </xf>
    <xf numFmtId="0" fontId="20" fillId="0" borderId="0" xfId="0" applyFont="1" applyFill="1" applyProtection="1">
      <protection hidden="1"/>
    </xf>
    <xf numFmtId="0" fontId="20" fillId="0" borderId="0" xfId="0" applyFont="1" applyProtection="1">
      <protection hidden="1"/>
    </xf>
    <xf numFmtId="0" fontId="20" fillId="0" borderId="0" xfId="0" applyFont="1" applyFill="1" applyAlignment="1" applyProtection="1">
      <alignment horizontal="right"/>
      <protection hidden="1"/>
    </xf>
    <xf numFmtId="0" fontId="21" fillId="0" borderId="0" xfId="0" applyFont="1" applyFill="1" applyProtection="1">
      <protection hidden="1"/>
    </xf>
    <xf numFmtId="166" fontId="20" fillId="0" borderId="0" xfId="0" applyNumberFormat="1" applyFont="1" applyFill="1" applyProtection="1">
      <protection hidden="1"/>
    </xf>
    <xf numFmtId="0" fontId="20" fillId="0" borderId="0" xfId="0" applyFont="1" applyFill="1" applyBorder="1" applyProtection="1">
      <protection hidden="1"/>
    </xf>
    <xf numFmtId="0" fontId="20" fillId="0" borderId="0" xfId="0" applyFont="1" applyFill="1" applyBorder="1" applyAlignment="1" applyProtection="1">
      <alignment horizontal="right"/>
      <protection hidden="1"/>
    </xf>
    <xf numFmtId="165" fontId="20" fillId="0" borderId="0" xfId="0" applyNumberFormat="1" applyFont="1" applyFill="1" applyProtection="1">
      <protection hidden="1"/>
    </xf>
    <xf numFmtId="168" fontId="20" fillId="0" borderId="0" xfId="0" applyNumberFormat="1" applyFont="1" applyFill="1" applyProtection="1">
      <protection hidden="1"/>
    </xf>
    <xf numFmtId="0" fontId="11" fillId="3" borderId="0" xfId="0" applyFont="1" applyFill="1"/>
    <xf numFmtId="0" fontId="11" fillId="3" borderId="0" xfId="0" applyFont="1" applyFill="1" applyAlignment="1">
      <alignment horizontal="right"/>
    </xf>
    <xf numFmtId="0" fontId="12" fillId="3" borderId="0" xfId="0" applyFont="1" applyFill="1" applyAlignment="1">
      <alignment horizontal="right"/>
    </xf>
    <xf numFmtId="0" fontId="22" fillId="3" borderId="0" xfId="0" applyFont="1" applyFill="1"/>
    <xf numFmtId="0" fontId="0" fillId="0" borderId="0" xfId="0" applyAlignment="1">
      <alignment horizontal="center"/>
    </xf>
    <xf numFmtId="0" fontId="20" fillId="0" borderId="0" xfId="0" applyFont="1" applyFill="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Raw Distributions</a:t>
            </a:r>
          </a:p>
        </c:rich>
      </c:tx>
      <c:layout>
        <c:manualLayout>
          <c:xMode val="edge"/>
          <c:yMode val="edge"/>
          <c:x val="0.26546418811050682"/>
          <c:y val="3.5714285714285712E-2"/>
        </c:manualLayout>
      </c:layout>
      <c:overlay val="0"/>
      <c:spPr>
        <a:noFill/>
        <a:ln w="25400">
          <a:noFill/>
        </a:ln>
      </c:spPr>
    </c:title>
    <c:autoTitleDeleted val="0"/>
    <c:plotArea>
      <c:layout>
        <c:manualLayout>
          <c:layoutTarget val="inner"/>
          <c:xMode val="edge"/>
          <c:yMode val="edge"/>
          <c:x val="7.4742362101273177E-2"/>
          <c:y val="0.14285714285714285"/>
          <c:w val="0.85309385708694563"/>
          <c:h val="0.62012987012987009"/>
        </c:manualLayout>
      </c:layout>
      <c:lineChart>
        <c:grouping val="standard"/>
        <c:varyColors val="0"/>
        <c:ser>
          <c:idx val="0"/>
          <c:order val="0"/>
          <c:tx>
            <c:strRef>
              <c:f>Calculations!$B$11</c:f>
              <c:strCache>
                <c:ptCount val="1"/>
                <c:pt idx="0">
                  <c:v>Group 1</c:v>
                </c:pt>
              </c:strCache>
            </c:strRef>
          </c:tx>
          <c:spPr>
            <a:ln w="12700">
              <a:solidFill>
                <a:srgbClr val="0000FF"/>
              </a:solidFill>
              <a:prstDash val="solid"/>
            </a:ln>
          </c:spPr>
          <c:marker>
            <c:symbol val="none"/>
          </c:marker>
          <c:cat>
            <c:numRef>
              <c:f>Calculations!$A$12:$A$112</c:f>
              <c:numCache>
                <c:formatCode>0.000</c:formatCode>
                <c:ptCount val="101"/>
                <c:pt idx="0">
                  <c:v>0</c:v>
                </c:pt>
                <c:pt idx="1">
                  <c:v>1.2</c:v>
                </c:pt>
                <c:pt idx="2">
                  <c:v>2.4</c:v>
                </c:pt>
                <c:pt idx="3">
                  <c:v>3.5999999999999996</c:v>
                </c:pt>
                <c:pt idx="4">
                  <c:v>4.8</c:v>
                </c:pt>
                <c:pt idx="5">
                  <c:v>6</c:v>
                </c:pt>
                <c:pt idx="6">
                  <c:v>7.2</c:v>
                </c:pt>
                <c:pt idx="7">
                  <c:v>8.4</c:v>
                </c:pt>
                <c:pt idx="8">
                  <c:v>9.6</c:v>
                </c:pt>
                <c:pt idx="9">
                  <c:v>10.799999999999999</c:v>
                </c:pt>
                <c:pt idx="10">
                  <c:v>11.999999999999998</c:v>
                </c:pt>
                <c:pt idx="11">
                  <c:v>13.199999999999998</c:v>
                </c:pt>
                <c:pt idx="12">
                  <c:v>14.399999999999997</c:v>
                </c:pt>
                <c:pt idx="13">
                  <c:v>15.599999999999996</c:v>
                </c:pt>
                <c:pt idx="14">
                  <c:v>16.799999999999997</c:v>
                </c:pt>
                <c:pt idx="15">
                  <c:v>17.999999999999996</c:v>
                </c:pt>
                <c:pt idx="16">
                  <c:v>19.199999999999996</c:v>
                </c:pt>
                <c:pt idx="17">
                  <c:v>20.399999999999995</c:v>
                </c:pt>
                <c:pt idx="18">
                  <c:v>21.599999999999994</c:v>
                </c:pt>
                <c:pt idx="19">
                  <c:v>22.799999999999994</c:v>
                </c:pt>
                <c:pt idx="20">
                  <c:v>23.999999999999993</c:v>
                </c:pt>
                <c:pt idx="21">
                  <c:v>25.199999999999992</c:v>
                </c:pt>
                <c:pt idx="22">
                  <c:v>26.399999999999991</c:v>
                </c:pt>
                <c:pt idx="23">
                  <c:v>27.599999999999991</c:v>
                </c:pt>
                <c:pt idx="24">
                  <c:v>28.79999999999999</c:v>
                </c:pt>
                <c:pt idx="25">
                  <c:v>29.999999999999989</c:v>
                </c:pt>
                <c:pt idx="26">
                  <c:v>31.199999999999989</c:v>
                </c:pt>
                <c:pt idx="27">
                  <c:v>32.399999999999991</c:v>
                </c:pt>
                <c:pt idx="28">
                  <c:v>33.599999999999994</c:v>
                </c:pt>
                <c:pt idx="29">
                  <c:v>34.799999999999997</c:v>
                </c:pt>
                <c:pt idx="30">
                  <c:v>36</c:v>
                </c:pt>
                <c:pt idx="31">
                  <c:v>37.200000000000003</c:v>
                </c:pt>
                <c:pt idx="32">
                  <c:v>38.400000000000006</c:v>
                </c:pt>
                <c:pt idx="33">
                  <c:v>39.600000000000009</c:v>
                </c:pt>
                <c:pt idx="34">
                  <c:v>40.800000000000011</c:v>
                </c:pt>
                <c:pt idx="35">
                  <c:v>42.000000000000014</c:v>
                </c:pt>
                <c:pt idx="36">
                  <c:v>43.200000000000017</c:v>
                </c:pt>
                <c:pt idx="37">
                  <c:v>44.40000000000002</c:v>
                </c:pt>
                <c:pt idx="38">
                  <c:v>45.600000000000023</c:v>
                </c:pt>
                <c:pt idx="39">
                  <c:v>46.800000000000026</c:v>
                </c:pt>
                <c:pt idx="40">
                  <c:v>48.000000000000028</c:v>
                </c:pt>
                <c:pt idx="41">
                  <c:v>49.200000000000031</c:v>
                </c:pt>
                <c:pt idx="42">
                  <c:v>50.400000000000034</c:v>
                </c:pt>
                <c:pt idx="43">
                  <c:v>51.600000000000037</c:v>
                </c:pt>
                <c:pt idx="44">
                  <c:v>52.80000000000004</c:v>
                </c:pt>
                <c:pt idx="45">
                  <c:v>54.000000000000043</c:v>
                </c:pt>
                <c:pt idx="46">
                  <c:v>55.200000000000045</c:v>
                </c:pt>
                <c:pt idx="47">
                  <c:v>56.400000000000048</c:v>
                </c:pt>
                <c:pt idx="48">
                  <c:v>57.600000000000051</c:v>
                </c:pt>
                <c:pt idx="49">
                  <c:v>58.800000000000054</c:v>
                </c:pt>
                <c:pt idx="50">
                  <c:v>60.000000000000057</c:v>
                </c:pt>
                <c:pt idx="51">
                  <c:v>61.20000000000006</c:v>
                </c:pt>
                <c:pt idx="52">
                  <c:v>62.400000000000063</c:v>
                </c:pt>
                <c:pt idx="53">
                  <c:v>63.600000000000065</c:v>
                </c:pt>
                <c:pt idx="54">
                  <c:v>64.800000000000068</c:v>
                </c:pt>
                <c:pt idx="55">
                  <c:v>66.000000000000071</c:v>
                </c:pt>
                <c:pt idx="56">
                  <c:v>67.200000000000074</c:v>
                </c:pt>
                <c:pt idx="57">
                  <c:v>68.400000000000077</c:v>
                </c:pt>
                <c:pt idx="58">
                  <c:v>69.60000000000008</c:v>
                </c:pt>
                <c:pt idx="59">
                  <c:v>70.800000000000082</c:v>
                </c:pt>
                <c:pt idx="60">
                  <c:v>72.000000000000085</c:v>
                </c:pt>
                <c:pt idx="61">
                  <c:v>73.200000000000088</c:v>
                </c:pt>
                <c:pt idx="62">
                  <c:v>74.400000000000091</c:v>
                </c:pt>
                <c:pt idx="63">
                  <c:v>75.600000000000094</c:v>
                </c:pt>
                <c:pt idx="64">
                  <c:v>76.800000000000097</c:v>
                </c:pt>
                <c:pt idx="65">
                  <c:v>78.000000000000099</c:v>
                </c:pt>
                <c:pt idx="66">
                  <c:v>79.200000000000102</c:v>
                </c:pt>
                <c:pt idx="67">
                  <c:v>80.400000000000105</c:v>
                </c:pt>
                <c:pt idx="68">
                  <c:v>81.600000000000108</c:v>
                </c:pt>
                <c:pt idx="69">
                  <c:v>82.800000000000111</c:v>
                </c:pt>
                <c:pt idx="70">
                  <c:v>84.000000000000114</c:v>
                </c:pt>
                <c:pt idx="71">
                  <c:v>85.200000000000117</c:v>
                </c:pt>
                <c:pt idx="72">
                  <c:v>86.400000000000119</c:v>
                </c:pt>
                <c:pt idx="73">
                  <c:v>87.600000000000122</c:v>
                </c:pt>
                <c:pt idx="74">
                  <c:v>88.800000000000125</c:v>
                </c:pt>
                <c:pt idx="75">
                  <c:v>90.000000000000128</c:v>
                </c:pt>
                <c:pt idx="76">
                  <c:v>91.200000000000131</c:v>
                </c:pt>
                <c:pt idx="77">
                  <c:v>92.400000000000134</c:v>
                </c:pt>
                <c:pt idx="78">
                  <c:v>93.600000000000136</c:v>
                </c:pt>
                <c:pt idx="79">
                  <c:v>94.800000000000139</c:v>
                </c:pt>
                <c:pt idx="80">
                  <c:v>96.000000000000142</c:v>
                </c:pt>
                <c:pt idx="81">
                  <c:v>97.200000000000145</c:v>
                </c:pt>
                <c:pt idx="82">
                  <c:v>98.400000000000148</c:v>
                </c:pt>
                <c:pt idx="83">
                  <c:v>99.600000000000151</c:v>
                </c:pt>
                <c:pt idx="84">
                  <c:v>100.80000000000015</c:v>
                </c:pt>
                <c:pt idx="85">
                  <c:v>102.00000000000016</c:v>
                </c:pt>
                <c:pt idx="86">
                  <c:v>103.20000000000016</c:v>
                </c:pt>
                <c:pt idx="87">
                  <c:v>104.40000000000016</c:v>
                </c:pt>
                <c:pt idx="88">
                  <c:v>105.60000000000016</c:v>
                </c:pt>
                <c:pt idx="89">
                  <c:v>106.80000000000017</c:v>
                </c:pt>
                <c:pt idx="90">
                  <c:v>108.00000000000017</c:v>
                </c:pt>
                <c:pt idx="91">
                  <c:v>109.20000000000017</c:v>
                </c:pt>
                <c:pt idx="92">
                  <c:v>110.40000000000018</c:v>
                </c:pt>
                <c:pt idx="93">
                  <c:v>111.60000000000018</c:v>
                </c:pt>
                <c:pt idx="94">
                  <c:v>112.80000000000018</c:v>
                </c:pt>
                <c:pt idx="95">
                  <c:v>114.00000000000018</c:v>
                </c:pt>
                <c:pt idx="96">
                  <c:v>115.20000000000019</c:v>
                </c:pt>
                <c:pt idx="97">
                  <c:v>116.40000000000019</c:v>
                </c:pt>
                <c:pt idx="98">
                  <c:v>117.60000000000019</c:v>
                </c:pt>
                <c:pt idx="99">
                  <c:v>118.8000000000002</c:v>
                </c:pt>
                <c:pt idx="100">
                  <c:v>120.0000000000002</c:v>
                </c:pt>
              </c:numCache>
            </c:numRef>
          </c:cat>
          <c:val>
            <c:numRef>
              <c:f>Calculations!$B$12:$B$112</c:f>
              <c:numCache>
                <c:formatCode>0.000000</c:formatCode>
                <c:ptCount val="101"/>
                <c:pt idx="0">
                  <c:v>2.2159242059690038E-4</c:v>
                </c:pt>
                <c:pt idx="1">
                  <c:v>2.6481719326555101E-4</c:v>
                </c:pt>
                <c:pt idx="2">
                  <c:v>3.1533631981329633E-4</c:v>
                </c:pt>
                <c:pt idx="3">
                  <c:v>3.7414362628902819E-4</c:v>
                </c:pt>
                <c:pt idx="4">
                  <c:v>4.423227199118609E-4</c:v>
                </c:pt>
                <c:pt idx="5">
                  <c:v>5.2104674072112956E-4</c:v>
                </c:pt>
                <c:pt idx="6">
                  <c:v>6.115763175638994E-4</c:v>
                </c:pt>
                <c:pt idx="7">
                  <c:v>7.152554497074845E-4</c:v>
                </c:pt>
                <c:pt idx="8">
                  <c:v>8.3350504186905272E-4</c:v>
                </c:pt>
                <c:pt idx="9">
                  <c:v>9.6781383658684807E-4</c:v>
                </c:pt>
                <c:pt idx="10">
                  <c:v>1.1197265147421451E-3</c:v>
                </c:pt>
                <c:pt idx="11">
                  <c:v>1.2908287735793828E-3</c:v>
                </c:pt>
                <c:pt idx="12">
                  <c:v>1.4827292423670625E-3</c:v>
                </c:pt>
                <c:pt idx="13">
                  <c:v>1.6970381591224592E-3</c:v>
                </c:pt>
                <c:pt idx="14">
                  <c:v>1.9353428073727802E-3</c:v>
                </c:pt>
                <c:pt idx="15">
                  <c:v>2.1991797990213598E-3</c:v>
                </c:pt>
                <c:pt idx="16">
                  <c:v>2.4900043867535386E-3</c:v>
                </c:pt>
                <c:pt idx="17">
                  <c:v>2.8091570951933997E-3</c:v>
                </c:pt>
                <c:pt idx="18">
                  <c:v>3.1578280717599306E-3</c:v>
                </c:pt>
                <c:pt idx="19">
                  <c:v>3.5370196728491689E-3</c:v>
                </c:pt>
                <c:pt idx="20">
                  <c:v>3.9475079150447061E-3</c:v>
                </c:pt>
                <c:pt idx="21">
                  <c:v>4.3898035305452764E-3</c:v>
                </c:pt>
                <c:pt idx="22">
                  <c:v>4.8641134665733717E-3</c:v>
                </c:pt>
                <c:pt idx="23">
                  <c:v>5.3703037556741889E-3</c:v>
                </c:pt>
                <c:pt idx="24">
                  <c:v>5.9078647529791101E-3</c:v>
                </c:pt>
                <c:pt idx="25">
                  <c:v>6.4758797832945823E-3</c:v>
                </c:pt>
                <c:pt idx="26">
                  <c:v>7.0729982612419339E-3</c:v>
                </c:pt>
                <c:pt idx="27">
                  <c:v>7.6974143381316803E-3</c:v>
                </c:pt>
                <c:pt idx="28">
                  <c:v>8.3468520870856877E-3</c:v>
                </c:pt>
                <c:pt idx="29">
                  <c:v>9.0185581613540129E-3</c:v>
                </c:pt>
                <c:pt idx="30">
                  <c:v>9.709302749160648E-3</c:v>
                </c:pt>
                <c:pt idx="31">
                  <c:v>1.0415389502355417E-2</c:v>
                </c:pt>
                <c:pt idx="32">
                  <c:v>1.1132674937588061E-2</c:v>
                </c:pt>
                <c:pt idx="33">
                  <c:v>1.1856597600968985E-2</c:v>
                </c:pt>
                <c:pt idx="34">
                  <c:v>1.2582217054905864E-2</c:v>
                </c:pt>
                <c:pt idx="35">
                  <c:v>1.3304262494937749E-2</c:v>
                </c:pt>
                <c:pt idx="36">
                  <c:v>1.4017190541981039E-2</c:v>
                </c:pt>
                <c:pt idx="37">
                  <c:v>1.4715251489416268E-2</c:v>
                </c:pt>
                <c:pt idx="38">
                  <c:v>1.5392563023492661E-2</c:v>
                </c:pt>
                <c:pt idx="39">
                  <c:v>1.604319018855864E-2</c:v>
                </c:pt>
                <c:pt idx="40">
                  <c:v>1.6661230144589999E-2</c:v>
                </c:pt>
                <c:pt idx="41">
                  <c:v>1.7240900071966683E-2</c:v>
                </c:pt>
                <c:pt idx="42">
                  <c:v>1.7776626425299868E-2</c:v>
                </c:pt>
                <c:pt idx="43">
                  <c:v>1.8263133631107709E-2</c:v>
                </c:pt>
                <c:pt idx="44">
                  <c:v>1.8695530268656432E-2</c:v>
                </c:pt>
                <c:pt idx="45">
                  <c:v>1.9069390773026218E-2</c:v>
                </c:pt>
                <c:pt idx="46">
                  <c:v>1.9380830756250716E-2</c:v>
                </c:pt>
                <c:pt idx="47">
                  <c:v>1.9626574156021453E-2</c:v>
                </c:pt>
                <c:pt idx="48">
                  <c:v>1.980401058968281E-2</c:v>
                </c:pt>
                <c:pt idx="49">
                  <c:v>1.9911241509780346E-2</c:v>
                </c:pt>
                <c:pt idx="50">
                  <c:v>1.9947114020071637E-2</c:v>
                </c:pt>
                <c:pt idx="51">
                  <c:v>1.9911241509780343E-2</c:v>
                </c:pt>
                <c:pt idx="52">
                  <c:v>1.9804010589682796E-2</c:v>
                </c:pt>
                <c:pt idx="53">
                  <c:v>1.9626574156021433E-2</c:v>
                </c:pt>
                <c:pt idx="54">
                  <c:v>1.9380830756250692E-2</c:v>
                </c:pt>
                <c:pt idx="55">
                  <c:v>1.9069390773026183E-2</c:v>
                </c:pt>
                <c:pt idx="56">
                  <c:v>1.8695530268656394E-2</c:v>
                </c:pt>
                <c:pt idx="57">
                  <c:v>1.8263133631107667E-2</c:v>
                </c:pt>
                <c:pt idx="58">
                  <c:v>1.777662642529982E-2</c:v>
                </c:pt>
                <c:pt idx="59">
                  <c:v>1.7240900071966631E-2</c:v>
                </c:pt>
                <c:pt idx="60">
                  <c:v>1.666123014458994E-2</c:v>
                </c:pt>
                <c:pt idx="61">
                  <c:v>1.6043190188558581E-2</c:v>
                </c:pt>
                <c:pt idx="62">
                  <c:v>1.5392563023492596E-2</c:v>
                </c:pt>
                <c:pt idx="63">
                  <c:v>1.4715251489416204E-2</c:v>
                </c:pt>
                <c:pt idx="64">
                  <c:v>1.4017190541980971E-2</c:v>
                </c:pt>
                <c:pt idx="65">
                  <c:v>1.3304262494937684E-2</c:v>
                </c:pt>
                <c:pt idx="66">
                  <c:v>1.2582217054905795E-2</c:v>
                </c:pt>
                <c:pt idx="67">
                  <c:v>1.1856597600968915E-2</c:v>
                </c:pt>
                <c:pt idx="68">
                  <c:v>1.1132674937587994E-2</c:v>
                </c:pt>
                <c:pt idx="69">
                  <c:v>1.0415389502355354E-2</c:v>
                </c:pt>
                <c:pt idx="70">
                  <c:v>9.7093027491605803E-3</c:v>
                </c:pt>
                <c:pt idx="71">
                  <c:v>9.0185581613539505E-3</c:v>
                </c:pt>
                <c:pt idx="72">
                  <c:v>8.3468520870856253E-3</c:v>
                </c:pt>
                <c:pt idx="73">
                  <c:v>7.6974143381316196E-3</c:v>
                </c:pt>
                <c:pt idx="74">
                  <c:v>7.0729982612418767E-3</c:v>
                </c:pt>
                <c:pt idx="75">
                  <c:v>6.4758797832945242E-3</c:v>
                </c:pt>
                <c:pt idx="76">
                  <c:v>5.9078647529790546E-3</c:v>
                </c:pt>
                <c:pt idx="77">
                  <c:v>5.3703037556741334E-3</c:v>
                </c:pt>
                <c:pt idx="78">
                  <c:v>4.8641134665733188E-3</c:v>
                </c:pt>
                <c:pt idx="79">
                  <c:v>4.3898035305452287E-3</c:v>
                </c:pt>
                <c:pt idx="80">
                  <c:v>3.9475079150446575E-3</c:v>
                </c:pt>
                <c:pt idx="81">
                  <c:v>3.5370196728491221E-3</c:v>
                </c:pt>
                <c:pt idx="82">
                  <c:v>3.1578280717598863E-3</c:v>
                </c:pt>
                <c:pt idx="83">
                  <c:v>2.8091570951933602E-3</c:v>
                </c:pt>
                <c:pt idx="84">
                  <c:v>2.4900043867535E-3</c:v>
                </c:pt>
                <c:pt idx="85">
                  <c:v>2.1991797990213247E-3</c:v>
                </c:pt>
                <c:pt idx="86">
                  <c:v>1.9353428073727468E-3</c:v>
                </c:pt>
                <c:pt idx="87">
                  <c:v>1.6970381591224291E-3</c:v>
                </c:pt>
                <c:pt idx="88">
                  <c:v>1.4827292423670356E-3</c:v>
                </c:pt>
                <c:pt idx="89">
                  <c:v>1.2908287735793587E-3</c:v>
                </c:pt>
                <c:pt idx="90">
                  <c:v>1.1197265147421228E-3</c:v>
                </c:pt>
                <c:pt idx="91">
                  <c:v>9.6781383658682703E-4</c:v>
                </c:pt>
                <c:pt idx="92">
                  <c:v>8.335050418690344E-4</c:v>
                </c:pt>
                <c:pt idx="93">
                  <c:v>7.1525544970746813E-4</c:v>
                </c:pt>
                <c:pt idx="94">
                  <c:v>6.1157631756388422E-4</c:v>
                </c:pt>
                <c:pt idx="95">
                  <c:v>5.2104674072111698E-4</c:v>
                </c:pt>
                <c:pt idx="96">
                  <c:v>4.4232271991184952E-4</c:v>
                </c:pt>
                <c:pt idx="97">
                  <c:v>3.7414362628901784E-4</c:v>
                </c:pt>
                <c:pt idx="98">
                  <c:v>3.1533631981328744E-4</c:v>
                </c:pt>
                <c:pt idx="99">
                  <c:v>2.648171932655432E-4</c:v>
                </c:pt>
                <c:pt idx="100">
                  <c:v>2.215924205968939E-4</c:v>
                </c:pt>
              </c:numCache>
            </c:numRef>
          </c:val>
          <c:smooth val="1"/>
        </c:ser>
        <c:ser>
          <c:idx val="1"/>
          <c:order val="1"/>
          <c:tx>
            <c:strRef>
              <c:f>Calculations!$C$11</c:f>
              <c:strCache>
                <c:ptCount val="1"/>
                <c:pt idx="0">
                  <c:v>Group 2</c:v>
                </c:pt>
              </c:strCache>
            </c:strRef>
          </c:tx>
          <c:spPr>
            <a:ln w="19050">
              <a:solidFill>
                <a:srgbClr val="FF0000"/>
              </a:solidFill>
              <a:prstDash val="sysDot"/>
            </a:ln>
          </c:spPr>
          <c:marker>
            <c:symbol val="none"/>
          </c:marker>
          <c:cat>
            <c:numRef>
              <c:f>Calculations!$A$12:$A$112</c:f>
              <c:numCache>
                <c:formatCode>0.000</c:formatCode>
                <c:ptCount val="101"/>
                <c:pt idx="0">
                  <c:v>0</c:v>
                </c:pt>
                <c:pt idx="1">
                  <c:v>1.2</c:v>
                </c:pt>
                <c:pt idx="2">
                  <c:v>2.4</c:v>
                </c:pt>
                <c:pt idx="3">
                  <c:v>3.5999999999999996</c:v>
                </c:pt>
                <c:pt idx="4">
                  <c:v>4.8</c:v>
                </c:pt>
                <c:pt idx="5">
                  <c:v>6</c:v>
                </c:pt>
                <c:pt idx="6">
                  <c:v>7.2</c:v>
                </c:pt>
                <c:pt idx="7">
                  <c:v>8.4</c:v>
                </c:pt>
                <c:pt idx="8">
                  <c:v>9.6</c:v>
                </c:pt>
                <c:pt idx="9">
                  <c:v>10.799999999999999</c:v>
                </c:pt>
                <c:pt idx="10">
                  <c:v>11.999999999999998</c:v>
                </c:pt>
                <c:pt idx="11">
                  <c:v>13.199999999999998</c:v>
                </c:pt>
                <c:pt idx="12">
                  <c:v>14.399999999999997</c:v>
                </c:pt>
                <c:pt idx="13">
                  <c:v>15.599999999999996</c:v>
                </c:pt>
                <c:pt idx="14">
                  <c:v>16.799999999999997</c:v>
                </c:pt>
                <c:pt idx="15">
                  <c:v>17.999999999999996</c:v>
                </c:pt>
                <c:pt idx="16">
                  <c:v>19.199999999999996</c:v>
                </c:pt>
                <c:pt idx="17">
                  <c:v>20.399999999999995</c:v>
                </c:pt>
                <c:pt idx="18">
                  <c:v>21.599999999999994</c:v>
                </c:pt>
                <c:pt idx="19">
                  <c:v>22.799999999999994</c:v>
                </c:pt>
                <c:pt idx="20">
                  <c:v>23.999999999999993</c:v>
                </c:pt>
                <c:pt idx="21">
                  <c:v>25.199999999999992</c:v>
                </c:pt>
                <c:pt idx="22">
                  <c:v>26.399999999999991</c:v>
                </c:pt>
                <c:pt idx="23">
                  <c:v>27.599999999999991</c:v>
                </c:pt>
                <c:pt idx="24">
                  <c:v>28.79999999999999</c:v>
                </c:pt>
                <c:pt idx="25">
                  <c:v>29.999999999999989</c:v>
                </c:pt>
                <c:pt idx="26">
                  <c:v>31.199999999999989</c:v>
                </c:pt>
                <c:pt idx="27">
                  <c:v>32.399999999999991</c:v>
                </c:pt>
                <c:pt idx="28">
                  <c:v>33.599999999999994</c:v>
                </c:pt>
                <c:pt idx="29">
                  <c:v>34.799999999999997</c:v>
                </c:pt>
                <c:pt idx="30">
                  <c:v>36</c:v>
                </c:pt>
                <c:pt idx="31">
                  <c:v>37.200000000000003</c:v>
                </c:pt>
                <c:pt idx="32">
                  <c:v>38.400000000000006</c:v>
                </c:pt>
                <c:pt idx="33">
                  <c:v>39.600000000000009</c:v>
                </c:pt>
                <c:pt idx="34">
                  <c:v>40.800000000000011</c:v>
                </c:pt>
                <c:pt idx="35">
                  <c:v>42.000000000000014</c:v>
                </c:pt>
                <c:pt idx="36">
                  <c:v>43.200000000000017</c:v>
                </c:pt>
                <c:pt idx="37">
                  <c:v>44.40000000000002</c:v>
                </c:pt>
                <c:pt idx="38">
                  <c:v>45.600000000000023</c:v>
                </c:pt>
                <c:pt idx="39">
                  <c:v>46.800000000000026</c:v>
                </c:pt>
                <c:pt idx="40">
                  <c:v>48.000000000000028</c:v>
                </c:pt>
                <c:pt idx="41">
                  <c:v>49.200000000000031</c:v>
                </c:pt>
                <c:pt idx="42">
                  <c:v>50.400000000000034</c:v>
                </c:pt>
                <c:pt idx="43">
                  <c:v>51.600000000000037</c:v>
                </c:pt>
                <c:pt idx="44">
                  <c:v>52.80000000000004</c:v>
                </c:pt>
                <c:pt idx="45">
                  <c:v>54.000000000000043</c:v>
                </c:pt>
                <c:pt idx="46">
                  <c:v>55.200000000000045</c:v>
                </c:pt>
                <c:pt idx="47">
                  <c:v>56.400000000000048</c:v>
                </c:pt>
                <c:pt idx="48">
                  <c:v>57.600000000000051</c:v>
                </c:pt>
                <c:pt idx="49">
                  <c:v>58.800000000000054</c:v>
                </c:pt>
                <c:pt idx="50">
                  <c:v>60.000000000000057</c:v>
                </c:pt>
                <c:pt idx="51">
                  <c:v>61.20000000000006</c:v>
                </c:pt>
                <c:pt idx="52">
                  <c:v>62.400000000000063</c:v>
                </c:pt>
                <c:pt idx="53">
                  <c:v>63.600000000000065</c:v>
                </c:pt>
                <c:pt idx="54">
                  <c:v>64.800000000000068</c:v>
                </c:pt>
                <c:pt idx="55">
                  <c:v>66.000000000000071</c:v>
                </c:pt>
                <c:pt idx="56">
                  <c:v>67.200000000000074</c:v>
                </c:pt>
                <c:pt idx="57">
                  <c:v>68.400000000000077</c:v>
                </c:pt>
                <c:pt idx="58">
                  <c:v>69.60000000000008</c:v>
                </c:pt>
                <c:pt idx="59">
                  <c:v>70.800000000000082</c:v>
                </c:pt>
                <c:pt idx="60">
                  <c:v>72.000000000000085</c:v>
                </c:pt>
                <c:pt idx="61">
                  <c:v>73.200000000000088</c:v>
                </c:pt>
                <c:pt idx="62">
                  <c:v>74.400000000000091</c:v>
                </c:pt>
                <c:pt idx="63">
                  <c:v>75.600000000000094</c:v>
                </c:pt>
                <c:pt idx="64">
                  <c:v>76.800000000000097</c:v>
                </c:pt>
                <c:pt idx="65">
                  <c:v>78.000000000000099</c:v>
                </c:pt>
                <c:pt idx="66">
                  <c:v>79.200000000000102</c:v>
                </c:pt>
                <c:pt idx="67">
                  <c:v>80.400000000000105</c:v>
                </c:pt>
                <c:pt idx="68">
                  <c:v>81.600000000000108</c:v>
                </c:pt>
                <c:pt idx="69">
                  <c:v>82.800000000000111</c:v>
                </c:pt>
                <c:pt idx="70">
                  <c:v>84.000000000000114</c:v>
                </c:pt>
                <c:pt idx="71">
                  <c:v>85.200000000000117</c:v>
                </c:pt>
                <c:pt idx="72">
                  <c:v>86.400000000000119</c:v>
                </c:pt>
                <c:pt idx="73">
                  <c:v>87.600000000000122</c:v>
                </c:pt>
                <c:pt idx="74">
                  <c:v>88.800000000000125</c:v>
                </c:pt>
                <c:pt idx="75">
                  <c:v>90.000000000000128</c:v>
                </c:pt>
                <c:pt idx="76">
                  <c:v>91.200000000000131</c:v>
                </c:pt>
                <c:pt idx="77">
                  <c:v>92.400000000000134</c:v>
                </c:pt>
                <c:pt idx="78">
                  <c:v>93.600000000000136</c:v>
                </c:pt>
                <c:pt idx="79">
                  <c:v>94.800000000000139</c:v>
                </c:pt>
                <c:pt idx="80">
                  <c:v>96.000000000000142</c:v>
                </c:pt>
                <c:pt idx="81">
                  <c:v>97.200000000000145</c:v>
                </c:pt>
                <c:pt idx="82">
                  <c:v>98.400000000000148</c:v>
                </c:pt>
                <c:pt idx="83">
                  <c:v>99.600000000000151</c:v>
                </c:pt>
                <c:pt idx="84">
                  <c:v>100.80000000000015</c:v>
                </c:pt>
                <c:pt idx="85">
                  <c:v>102.00000000000016</c:v>
                </c:pt>
                <c:pt idx="86">
                  <c:v>103.20000000000016</c:v>
                </c:pt>
                <c:pt idx="87">
                  <c:v>104.40000000000016</c:v>
                </c:pt>
                <c:pt idx="88">
                  <c:v>105.60000000000016</c:v>
                </c:pt>
                <c:pt idx="89">
                  <c:v>106.80000000000017</c:v>
                </c:pt>
                <c:pt idx="90">
                  <c:v>108.00000000000017</c:v>
                </c:pt>
                <c:pt idx="91">
                  <c:v>109.20000000000017</c:v>
                </c:pt>
                <c:pt idx="92">
                  <c:v>110.40000000000018</c:v>
                </c:pt>
                <c:pt idx="93">
                  <c:v>111.60000000000018</c:v>
                </c:pt>
                <c:pt idx="94">
                  <c:v>112.80000000000018</c:v>
                </c:pt>
                <c:pt idx="95">
                  <c:v>114.00000000000018</c:v>
                </c:pt>
                <c:pt idx="96">
                  <c:v>115.20000000000019</c:v>
                </c:pt>
                <c:pt idx="97">
                  <c:v>116.40000000000019</c:v>
                </c:pt>
                <c:pt idx="98">
                  <c:v>117.60000000000019</c:v>
                </c:pt>
                <c:pt idx="99">
                  <c:v>118.8000000000002</c:v>
                </c:pt>
                <c:pt idx="100">
                  <c:v>120.0000000000002</c:v>
                </c:pt>
              </c:numCache>
            </c:numRef>
          </c:cat>
          <c:val>
            <c:numRef>
              <c:f>Calculations!$C$12:$C$112</c:f>
              <c:numCache>
                <c:formatCode>0.000000</c:formatCode>
                <c:ptCount val="101"/>
                <c:pt idx="0">
                  <c:v>6.0758828498232861E-10</c:v>
                </c:pt>
                <c:pt idx="1">
                  <c:v>1.2392944314150131E-9</c:v>
                </c:pt>
                <c:pt idx="2">
                  <c:v>2.4916426972950991E-9</c:v>
                </c:pt>
                <c:pt idx="3">
                  <c:v>4.9379102271104488E-9</c:v>
                </c:pt>
                <c:pt idx="4">
                  <c:v>9.6459892842733302E-9</c:v>
                </c:pt>
                <c:pt idx="5">
                  <c:v>1.8573618445552898E-8</c:v>
                </c:pt>
                <c:pt idx="6">
                  <c:v>3.5252703126140569E-8</c:v>
                </c:pt>
                <c:pt idx="7">
                  <c:v>6.5952989685752165E-8</c:v>
                </c:pt>
                <c:pt idx="8">
                  <c:v>1.216249598931318E-7</c:v>
                </c:pt>
                <c:pt idx="9">
                  <c:v>2.2108388745684209E-7</c:v>
                </c:pt>
                <c:pt idx="10">
                  <c:v>3.9612990910320755E-7</c:v>
                </c:pt>
                <c:pt idx="11">
                  <c:v>6.9962341432703673E-7</c:v>
                </c:pt>
                <c:pt idx="12">
                  <c:v>1.2179716970268655E-6</c:v>
                </c:pt>
                <c:pt idx="13">
                  <c:v>2.0900477900450408E-6</c:v>
                </c:pt>
                <c:pt idx="14">
                  <c:v>3.5352603001773097E-6</c:v>
                </c:pt>
                <c:pt idx="15">
                  <c:v>5.8943067756539858E-6</c:v>
                </c:pt>
                <c:pt idx="16">
                  <c:v>9.687020839871926E-6</c:v>
                </c:pt>
                <c:pt idx="17">
                  <c:v>1.569256340655317E-5</c:v>
                </c:pt>
                <c:pt idx="18">
                  <c:v>2.5057844489086012E-5</c:v>
                </c:pt>
                <c:pt idx="19">
                  <c:v>3.9440252496915624E-5</c:v>
                </c:pt>
                <c:pt idx="20">
                  <c:v>6.1190193011377079E-5</c:v>
                </c:pt>
                <c:pt idx="21">
                  <c:v>9.357721569274756E-5</c:v>
                </c:pt>
                <c:pt idx="22">
                  <c:v>1.41060225694138E-4</c:v>
                </c:pt>
                <c:pt idx="23">
                  <c:v>2.0959706128579399E-4</c:v>
                </c:pt>
                <c:pt idx="24">
                  <c:v>3.0698133011047325E-4</c:v>
                </c:pt>
                <c:pt idx="25">
                  <c:v>4.4318484119379957E-4</c:v>
                </c:pt>
                <c:pt idx="26">
                  <c:v>6.306726396265905E-4</c:v>
                </c:pt>
                <c:pt idx="27">
                  <c:v>8.8464543982372083E-4</c:v>
                </c:pt>
                <c:pt idx="28">
                  <c:v>1.2231526351277955E-3</c:v>
                </c:pt>
                <c:pt idx="29">
                  <c:v>1.6670100837381041E-3</c:v>
                </c:pt>
                <c:pt idx="30">
                  <c:v>2.2394530294842902E-3</c:v>
                </c:pt>
                <c:pt idx="31">
                  <c:v>2.9654584847341276E-3</c:v>
                </c:pt>
                <c:pt idx="32">
                  <c:v>3.8706856147455683E-3</c:v>
                </c:pt>
                <c:pt idx="33">
                  <c:v>4.9800087735070867E-3</c:v>
                </c:pt>
                <c:pt idx="34">
                  <c:v>6.3156561435198776E-3</c:v>
                </c:pt>
                <c:pt idx="35">
                  <c:v>7.8950158300894382E-3</c:v>
                </c:pt>
                <c:pt idx="36">
                  <c:v>9.7282269331467764E-3</c:v>
                </c:pt>
                <c:pt idx="37">
                  <c:v>1.1815729505958264E-2</c:v>
                </c:pt>
                <c:pt idx="38">
                  <c:v>1.4145996522483923E-2</c:v>
                </c:pt>
                <c:pt idx="39">
                  <c:v>1.6693704174171441E-2</c:v>
                </c:pt>
                <c:pt idx="40">
                  <c:v>1.9418605498321365E-2</c:v>
                </c:pt>
                <c:pt idx="41">
                  <c:v>2.2265349875176189E-2</c:v>
                </c:pt>
                <c:pt idx="42">
                  <c:v>2.5164434109811794E-2</c:v>
                </c:pt>
                <c:pt idx="43">
                  <c:v>2.8034381083962143E-2</c:v>
                </c:pt>
                <c:pt idx="44">
                  <c:v>3.0785126046985387E-2</c:v>
                </c:pt>
                <c:pt idx="45">
                  <c:v>3.3322460289180046E-2</c:v>
                </c:pt>
                <c:pt idx="46">
                  <c:v>3.5553252850599786E-2</c:v>
                </c:pt>
                <c:pt idx="47">
                  <c:v>3.7391060537312906E-2</c:v>
                </c:pt>
                <c:pt idx="48">
                  <c:v>3.8761661512501461E-2</c:v>
                </c:pt>
                <c:pt idx="49">
                  <c:v>3.9608021179365634E-2</c:v>
                </c:pt>
                <c:pt idx="50">
                  <c:v>3.9894228040143274E-2</c:v>
                </c:pt>
                <c:pt idx="51">
                  <c:v>3.9608021179365578E-2</c:v>
                </c:pt>
                <c:pt idx="52">
                  <c:v>3.8761661512501357E-2</c:v>
                </c:pt>
                <c:pt idx="53">
                  <c:v>3.7391060537312754E-2</c:v>
                </c:pt>
                <c:pt idx="54">
                  <c:v>3.5553252850599598E-2</c:v>
                </c:pt>
                <c:pt idx="55">
                  <c:v>3.3322460289179824E-2</c:v>
                </c:pt>
                <c:pt idx="56">
                  <c:v>3.0785126046985131E-2</c:v>
                </c:pt>
                <c:pt idx="57">
                  <c:v>2.8034381083961876E-2</c:v>
                </c:pt>
                <c:pt idx="58">
                  <c:v>2.5164434109811517E-2</c:v>
                </c:pt>
                <c:pt idx="59">
                  <c:v>2.2265349875175915E-2</c:v>
                </c:pt>
                <c:pt idx="60">
                  <c:v>1.9418605498321095E-2</c:v>
                </c:pt>
                <c:pt idx="61">
                  <c:v>1.6693704174171192E-2</c:v>
                </c:pt>
                <c:pt idx="62">
                  <c:v>1.4145996522483696E-2</c:v>
                </c:pt>
                <c:pt idx="63">
                  <c:v>1.1815729505958057E-2</c:v>
                </c:pt>
                <c:pt idx="64">
                  <c:v>9.7282269331465925E-3</c:v>
                </c:pt>
                <c:pt idx="65">
                  <c:v>7.8950158300892734E-3</c:v>
                </c:pt>
                <c:pt idx="66">
                  <c:v>6.3156561435197406E-3</c:v>
                </c:pt>
                <c:pt idx="67">
                  <c:v>4.9800087735069687E-3</c:v>
                </c:pt>
                <c:pt idx="68">
                  <c:v>3.8706856147454711E-3</c:v>
                </c:pt>
                <c:pt idx="69">
                  <c:v>2.9654584847340531E-3</c:v>
                </c:pt>
                <c:pt idx="70">
                  <c:v>2.2394530294842286E-3</c:v>
                </c:pt>
                <c:pt idx="71">
                  <c:v>1.6670100837380575E-3</c:v>
                </c:pt>
                <c:pt idx="72">
                  <c:v>1.2231526351277585E-3</c:v>
                </c:pt>
                <c:pt idx="73">
                  <c:v>8.8464543982369242E-4</c:v>
                </c:pt>
                <c:pt idx="74">
                  <c:v>6.3067263962657044E-4</c:v>
                </c:pt>
                <c:pt idx="75">
                  <c:v>4.4318484119378347E-4</c:v>
                </c:pt>
                <c:pt idx="76">
                  <c:v>3.0698133011046181E-4</c:v>
                </c:pt>
                <c:pt idx="77">
                  <c:v>2.0959706128578526E-4</c:v>
                </c:pt>
                <c:pt idx="78">
                  <c:v>1.4106022569413185E-4</c:v>
                </c:pt>
                <c:pt idx="79">
                  <c:v>9.3577215692743467E-5</c:v>
                </c:pt>
                <c:pt idx="80">
                  <c:v>6.1190193011374097E-5</c:v>
                </c:pt>
                <c:pt idx="81">
                  <c:v>3.9440252496913557E-5</c:v>
                </c:pt>
                <c:pt idx="82">
                  <c:v>2.5057844489084633E-5</c:v>
                </c:pt>
                <c:pt idx="83">
                  <c:v>1.5692563406552293E-5</c:v>
                </c:pt>
                <c:pt idx="84">
                  <c:v>9.6870208398713246E-6</c:v>
                </c:pt>
                <c:pt idx="85">
                  <c:v>5.8943067756536089E-6</c:v>
                </c:pt>
                <c:pt idx="86">
                  <c:v>3.5352603001770649E-6</c:v>
                </c:pt>
                <c:pt idx="87">
                  <c:v>2.0900477900448921E-6</c:v>
                </c:pt>
                <c:pt idx="88">
                  <c:v>1.217971697026777E-6</c:v>
                </c:pt>
                <c:pt idx="89">
                  <c:v>6.9962341432698453E-7</c:v>
                </c:pt>
                <c:pt idx="90">
                  <c:v>3.9612990910317589E-7</c:v>
                </c:pt>
                <c:pt idx="91">
                  <c:v>2.2108388745682288E-7</c:v>
                </c:pt>
                <c:pt idx="92">
                  <c:v>1.21624959893121E-7</c:v>
                </c:pt>
                <c:pt idx="93">
                  <c:v>6.5952989685746183E-8</c:v>
                </c:pt>
                <c:pt idx="94">
                  <c:v>3.5252703126137062E-8</c:v>
                </c:pt>
                <c:pt idx="95">
                  <c:v>1.8573618445551115E-8</c:v>
                </c:pt>
                <c:pt idx="96">
                  <c:v>9.6459892842723376E-9</c:v>
                </c:pt>
                <c:pt idx="97">
                  <c:v>4.9379102271099053E-9</c:v>
                </c:pt>
                <c:pt idx="98">
                  <c:v>2.4916426972948153E-9</c:v>
                </c:pt>
                <c:pt idx="99">
                  <c:v>1.2392944314148675E-9</c:v>
                </c:pt>
                <c:pt idx="100">
                  <c:v>6.0758828498225726E-10</c:v>
                </c:pt>
              </c:numCache>
            </c:numRef>
          </c:val>
          <c:smooth val="1"/>
        </c:ser>
        <c:dLbls>
          <c:showLegendKey val="0"/>
          <c:showVal val="0"/>
          <c:showCatName val="0"/>
          <c:showSerName val="0"/>
          <c:showPercent val="0"/>
          <c:showBubbleSize val="0"/>
        </c:dLbls>
        <c:marker val="1"/>
        <c:smooth val="0"/>
        <c:axId val="164498944"/>
        <c:axId val="196335232"/>
      </c:lineChart>
      <c:catAx>
        <c:axId val="164498944"/>
        <c:scaling>
          <c:orientation val="minMax"/>
        </c:scaling>
        <c:delete val="0"/>
        <c:axPos val="b"/>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6335232"/>
        <c:crosses val="autoZero"/>
        <c:auto val="0"/>
        <c:lblAlgn val="ctr"/>
        <c:lblOffset val="100"/>
        <c:tickLblSkip val="10"/>
        <c:tickMarkSkip val="10"/>
        <c:noMultiLvlLbl val="0"/>
      </c:catAx>
      <c:valAx>
        <c:axId val="196335232"/>
        <c:scaling>
          <c:orientation val="minMax"/>
        </c:scaling>
        <c:delete val="1"/>
        <c:axPos val="l"/>
        <c:numFmt formatCode="0.000000" sourceLinked="1"/>
        <c:majorTickMark val="out"/>
        <c:minorTickMark val="none"/>
        <c:tickLblPos val="nextTo"/>
        <c:crossAx val="164498944"/>
        <c:crosses val="autoZero"/>
        <c:crossBetween val="midCat"/>
      </c:valAx>
      <c:spPr>
        <a:noFill/>
        <a:ln w="25400">
          <a:noFill/>
        </a:ln>
      </c:spPr>
    </c:plotArea>
    <c:legend>
      <c:legendPos val="b"/>
      <c:layout>
        <c:manualLayout>
          <c:xMode val="edge"/>
          <c:yMode val="edge"/>
          <c:x val="0.28350542522390887"/>
          <c:y val="0.87337662337662336"/>
          <c:w val="0.4355675514787456"/>
          <c:h val="0.1038961038961039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Weighted Distributions </a:t>
            </a:r>
          </a:p>
        </c:rich>
      </c:tx>
      <c:layout>
        <c:manualLayout>
          <c:xMode val="edge"/>
          <c:yMode val="edge"/>
          <c:x val="0.19794344473007713"/>
          <c:y val="3.5714285714285712E-2"/>
        </c:manualLayout>
      </c:layout>
      <c:overlay val="0"/>
      <c:spPr>
        <a:noFill/>
        <a:ln w="25400">
          <a:noFill/>
        </a:ln>
      </c:spPr>
    </c:title>
    <c:autoTitleDeleted val="0"/>
    <c:plotArea>
      <c:layout>
        <c:manualLayout>
          <c:layoutTarget val="inner"/>
          <c:xMode val="edge"/>
          <c:yMode val="edge"/>
          <c:x val="9.2544987146529561E-2"/>
          <c:y val="0.16233766233766234"/>
          <c:w val="0.8586118251928021"/>
          <c:h val="0.61688311688311692"/>
        </c:manualLayout>
      </c:layout>
      <c:lineChart>
        <c:grouping val="standard"/>
        <c:varyColors val="0"/>
        <c:ser>
          <c:idx val="0"/>
          <c:order val="0"/>
          <c:tx>
            <c:strRef>
              <c:f>Calculations!$D$11</c:f>
              <c:strCache>
                <c:ptCount val="1"/>
                <c:pt idx="0">
                  <c:v>Group 1</c:v>
                </c:pt>
              </c:strCache>
            </c:strRef>
          </c:tx>
          <c:spPr>
            <a:ln w="12700">
              <a:solidFill>
                <a:srgbClr val="0000FF"/>
              </a:solidFill>
              <a:prstDash val="solid"/>
            </a:ln>
          </c:spPr>
          <c:marker>
            <c:symbol val="none"/>
          </c:marker>
          <c:cat>
            <c:numRef>
              <c:f>Calculations!$A$12:$A$112</c:f>
              <c:numCache>
                <c:formatCode>0.000</c:formatCode>
                <c:ptCount val="101"/>
                <c:pt idx="0">
                  <c:v>0</c:v>
                </c:pt>
                <c:pt idx="1">
                  <c:v>1.2</c:v>
                </c:pt>
                <c:pt idx="2">
                  <c:v>2.4</c:v>
                </c:pt>
                <c:pt idx="3">
                  <c:v>3.5999999999999996</c:v>
                </c:pt>
                <c:pt idx="4">
                  <c:v>4.8</c:v>
                </c:pt>
                <c:pt idx="5">
                  <c:v>6</c:v>
                </c:pt>
                <c:pt idx="6">
                  <c:v>7.2</c:v>
                </c:pt>
                <c:pt idx="7">
                  <c:v>8.4</c:v>
                </c:pt>
                <c:pt idx="8">
                  <c:v>9.6</c:v>
                </c:pt>
                <c:pt idx="9">
                  <c:v>10.799999999999999</c:v>
                </c:pt>
                <c:pt idx="10">
                  <c:v>11.999999999999998</c:v>
                </c:pt>
                <c:pt idx="11">
                  <c:v>13.199999999999998</c:v>
                </c:pt>
                <c:pt idx="12">
                  <c:v>14.399999999999997</c:v>
                </c:pt>
                <c:pt idx="13">
                  <c:v>15.599999999999996</c:v>
                </c:pt>
                <c:pt idx="14">
                  <c:v>16.799999999999997</c:v>
                </c:pt>
                <c:pt idx="15">
                  <c:v>17.999999999999996</c:v>
                </c:pt>
                <c:pt idx="16">
                  <c:v>19.199999999999996</c:v>
                </c:pt>
                <c:pt idx="17">
                  <c:v>20.399999999999995</c:v>
                </c:pt>
                <c:pt idx="18">
                  <c:v>21.599999999999994</c:v>
                </c:pt>
                <c:pt idx="19">
                  <c:v>22.799999999999994</c:v>
                </c:pt>
                <c:pt idx="20">
                  <c:v>23.999999999999993</c:v>
                </c:pt>
                <c:pt idx="21">
                  <c:v>25.199999999999992</c:v>
                </c:pt>
                <c:pt idx="22">
                  <c:v>26.399999999999991</c:v>
                </c:pt>
                <c:pt idx="23">
                  <c:v>27.599999999999991</c:v>
                </c:pt>
                <c:pt idx="24">
                  <c:v>28.79999999999999</c:v>
                </c:pt>
                <c:pt idx="25">
                  <c:v>29.999999999999989</c:v>
                </c:pt>
                <c:pt idx="26">
                  <c:v>31.199999999999989</c:v>
                </c:pt>
                <c:pt idx="27">
                  <c:v>32.399999999999991</c:v>
                </c:pt>
                <c:pt idx="28">
                  <c:v>33.599999999999994</c:v>
                </c:pt>
                <c:pt idx="29">
                  <c:v>34.799999999999997</c:v>
                </c:pt>
                <c:pt idx="30">
                  <c:v>36</c:v>
                </c:pt>
                <c:pt idx="31">
                  <c:v>37.200000000000003</c:v>
                </c:pt>
                <c:pt idx="32">
                  <c:v>38.400000000000006</c:v>
                </c:pt>
                <c:pt idx="33">
                  <c:v>39.600000000000009</c:v>
                </c:pt>
                <c:pt idx="34">
                  <c:v>40.800000000000011</c:v>
                </c:pt>
                <c:pt idx="35">
                  <c:v>42.000000000000014</c:v>
                </c:pt>
                <c:pt idx="36">
                  <c:v>43.200000000000017</c:v>
                </c:pt>
                <c:pt idx="37">
                  <c:v>44.40000000000002</c:v>
                </c:pt>
                <c:pt idx="38">
                  <c:v>45.600000000000023</c:v>
                </c:pt>
                <c:pt idx="39">
                  <c:v>46.800000000000026</c:v>
                </c:pt>
                <c:pt idx="40">
                  <c:v>48.000000000000028</c:v>
                </c:pt>
                <c:pt idx="41">
                  <c:v>49.200000000000031</c:v>
                </c:pt>
                <c:pt idx="42">
                  <c:v>50.400000000000034</c:v>
                </c:pt>
                <c:pt idx="43">
                  <c:v>51.600000000000037</c:v>
                </c:pt>
                <c:pt idx="44">
                  <c:v>52.80000000000004</c:v>
                </c:pt>
                <c:pt idx="45">
                  <c:v>54.000000000000043</c:v>
                </c:pt>
                <c:pt idx="46">
                  <c:v>55.200000000000045</c:v>
                </c:pt>
                <c:pt idx="47">
                  <c:v>56.400000000000048</c:v>
                </c:pt>
                <c:pt idx="48">
                  <c:v>57.600000000000051</c:v>
                </c:pt>
                <c:pt idx="49">
                  <c:v>58.800000000000054</c:v>
                </c:pt>
                <c:pt idx="50">
                  <c:v>60.000000000000057</c:v>
                </c:pt>
                <c:pt idx="51">
                  <c:v>61.20000000000006</c:v>
                </c:pt>
                <c:pt idx="52">
                  <c:v>62.400000000000063</c:v>
                </c:pt>
                <c:pt idx="53">
                  <c:v>63.600000000000065</c:v>
                </c:pt>
                <c:pt idx="54">
                  <c:v>64.800000000000068</c:v>
                </c:pt>
                <c:pt idx="55">
                  <c:v>66.000000000000071</c:v>
                </c:pt>
                <c:pt idx="56">
                  <c:v>67.200000000000074</c:v>
                </c:pt>
                <c:pt idx="57">
                  <c:v>68.400000000000077</c:v>
                </c:pt>
                <c:pt idx="58">
                  <c:v>69.60000000000008</c:v>
                </c:pt>
                <c:pt idx="59">
                  <c:v>70.800000000000082</c:v>
                </c:pt>
                <c:pt idx="60">
                  <c:v>72.000000000000085</c:v>
                </c:pt>
                <c:pt idx="61">
                  <c:v>73.200000000000088</c:v>
                </c:pt>
                <c:pt idx="62">
                  <c:v>74.400000000000091</c:v>
                </c:pt>
                <c:pt idx="63">
                  <c:v>75.600000000000094</c:v>
                </c:pt>
                <c:pt idx="64">
                  <c:v>76.800000000000097</c:v>
                </c:pt>
                <c:pt idx="65">
                  <c:v>78.000000000000099</c:v>
                </c:pt>
                <c:pt idx="66">
                  <c:v>79.200000000000102</c:v>
                </c:pt>
                <c:pt idx="67">
                  <c:v>80.400000000000105</c:v>
                </c:pt>
                <c:pt idx="68">
                  <c:v>81.600000000000108</c:v>
                </c:pt>
                <c:pt idx="69">
                  <c:v>82.800000000000111</c:v>
                </c:pt>
                <c:pt idx="70">
                  <c:v>84.000000000000114</c:v>
                </c:pt>
                <c:pt idx="71">
                  <c:v>85.200000000000117</c:v>
                </c:pt>
                <c:pt idx="72">
                  <c:v>86.400000000000119</c:v>
                </c:pt>
                <c:pt idx="73">
                  <c:v>87.600000000000122</c:v>
                </c:pt>
                <c:pt idx="74">
                  <c:v>88.800000000000125</c:v>
                </c:pt>
                <c:pt idx="75">
                  <c:v>90.000000000000128</c:v>
                </c:pt>
                <c:pt idx="76">
                  <c:v>91.200000000000131</c:v>
                </c:pt>
                <c:pt idx="77">
                  <c:v>92.400000000000134</c:v>
                </c:pt>
                <c:pt idx="78">
                  <c:v>93.600000000000136</c:v>
                </c:pt>
                <c:pt idx="79">
                  <c:v>94.800000000000139</c:v>
                </c:pt>
                <c:pt idx="80">
                  <c:v>96.000000000000142</c:v>
                </c:pt>
                <c:pt idx="81">
                  <c:v>97.200000000000145</c:v>
                </c:pt>
                <c:pt idx="82">
                  <c:v>98.400000000000148</c:v>
                </c:pt>
                <c:pt idx="83">
                  <c:v>99.600000000000151</c:v>
                </c:pt>
                <c:pt idx="84">
                  <c:v>100.80000000000015</c:v>
                </c:pt>
                <c:pt idx="85">
                  <c:v>102.00000000000016</c:v>
                </c:pt>
                <c:pt idx="86">
                  <c:v>103.20000000000016</c:v>
                </c:pt>
                <c:pt idx="87">
                  <c:v>104.40000000000016</c:v>
                </c:pt>
                <c:pt idx="88">
                  <c:v>105.60000000000016</c:v>
                </c:pt>
                <c:pt idx="89">
                  <c:v>106.80000000000017</c:v>
                </c:pt>
                <c:pt idx="90">
                  <c:v>108.00000000000017</c:v>
                </c:pt>
                <c:pt idx="91">
                  <c:v>109.20000000000017</c:v>
                </c:pt>
                <c:pt idx="92">
                  <c:v>110.40000000000018</c:v>
                </c:pt>
                <c:pt idx="93">
                  <c:v>111.60000000000018</c:v>
                </c:pt>
                <c:pt idx="94">
                  <c:v>112.80000000000018</c:v>
                </c:pt>
                <c:pt idx="95">
                  <c:v>114.00000000000018</c:v>
                </c:pt>
                <c:pt idx="96">
                  <c:v>115.20000000000019</c:v>
                </c:pt>
                <c:pt idx="97">
                  <c:v>116.40000000000019</c:v>
                </c:pt>
                <c:pt idx="98">
                  <c:v>117.60000000000019</c:v>
                </c:pt>
                <c:pt idx="99">
                  <c:v>118.8000000000002</c:v>
                </c:pt>
                <c:pt idx="100">
                  <c:v>120.0000000000002</c:v>
                </c:pt>
              </c:numCache>
            </c:numRef>
          </c:cat>
          <c:val>
            <c:numRef>
              <c:f>Calculations!$D$12:$D$112</c:f>
              <c:numCache>
                <c:formatCode>0.00000</c:formatCode>
                <c:ptCount val="101"/>
                <c:pt idx="0">
                  <c:v>1.1079621029845018E-2</c:v>
                </c:pt>
                <c:pt idx="1">
                  <c:v>1.324085966327755E-2</c:v>
                </c:pt>
                <c:pt idx="2">
                  <c:v>1.5766815990664818E-2</c:v>
                </c:pt>
                <c:pt idx="3">
                  <c:v>1.8707181314451409E-2</c:v>
                </c:pt>
                <c:pt idx="4">
                  <c:v>2.2116135995593044E-2</c:v>
                </c:pt>
                <c:pt idx="5">
                  <c:v>2.6052337036056479E-2</c:v>
                </c:pt>
                <c:pt idx="6">
                  <c:v>3.057881587819497E-2</c:v>
                </c:pt>
                <c:pt idx="7">
                  <c:v>3.5762772485374225E-2</c:v>
                </c:pt>
                <c:pt idx="8">
                  <c:v>4.1675252093452637E-2</c:v>
                </c:pt>
                <c:pt idx="9">
                  <c:v>4.83906918293424E-2</c:v>
                </c:pt>
                <c:pt idx="10">
                  <c:v>5.5986325737107254E-2</c:v>
                </c:pt>
                <c:pt idx="11">
                  <c:v>6.4541438678969137E-2</c:v>
                </c:pt>
                <c:pt idx="12">
                  <c:v>7.4136462118353119E-2</c:v>
                </c:pt>
                <c:pt idx="13">
                  <c:v>8.4851907956122963E-2</c:v>
                </c:pt>
                <c:pt idx="14">
                  <c:v>9.676714036863901E-2</c:v>
                </c:pt>
                <c:pt idx="15">
                  <c:v>0.109958989951068</c:v>
                </c:pt>
                <c:pt idx="16">
                  <c:v>0.12450021933767692</c:v>
                </c:pt>
                <c:pt idx="17">
                  <c:v>0.14045785475966999</c:v>
                </c:pt>
                <c:pt idx="18">
                  <c:v>0.15789140358799653</c:v>
                </c:pt>
                <c:pt idx="19">
                  <c:v>0.17685098364245844</c:v>
                </c:pt>
                <c:pt idx="20">
                  <c:v>0.19737539575223531</c:v>
                </c:pt>
                <c:pt idx="21">
                  <c:v>0.21949017652726382</c:v>
                </c:pt>
                <c:pt idx="22">
                  <c:v>0.24320567332866858</c:v>
                </c:pt>
                <c:pt idx="23">
                  <c:v>0.26851518778370942</c:v>
                </c:pt>
                <c:pt idx="24">
                  <c:v>0.29539323764895553</c:v>
                </c:pt>
                <c:pt idx="25">
                  <c:v>0.32379398916472912</c:v>
                </c:pt>
                <c:pt idx="26">
                  <c:v>0.3536499130620967</c:v>
                </c:pt>
                <c:pt idx="27">
                  <c:v>0.38487071690658403</c:v>
                </c:pt>
                <c:pt idx="28">
                  <c:v>0.41734260435428439</c:v>
                </c:pt>
                <c:pt idx="29">
                  <c:v>0.45092790806770067</c:v>
                </c:pt>
                <c:pt idx="30">
                  <c:v>0.48546513745803238</c:v>
                </c:pt>
                <c:pt idx="31">
                  <c:v>0.52076947511777083</c:v>
                </c:pt>
                <c:pt idx="32">
                  <c:v>0.55663374687940304</c:v>
                </c:pt>
                <c:pt idx="33">
                  <c:v>0.59282988004844928</c:v>
                </c:pt>
                <c:pt idx="34">
                  <c:v>0.62911085274529321</c:v>
                </c:pt>
                <c:pt idx="35">
                  <c:v>0.66521312474688743</c:v>
                </c:pt>
                <c:pt idx="36">
                  <c:v>0.70085952709905197</c:v>
                </c:pt>
                <c:pt idx="37">
                  <c:v>0.73576257447081339</c:v>
                </c:pt>
                <c:pt idx="38">
                  <c:v>0.76962815117463301</c:v>
                </c:pt>
                <c:pt idx="39">
                  <c:v>0.80215950942793202</c:v>
                </c:pt>
                <c:pt idx="40">
                  <c:v>0.8330615072294999</c:v>
                </c:pt>
                <c:pt idx="41">
                  <c:v>0.86204500359833414</c:v>
                </c:pt>
                <c:pt idx="42">
                  <c:v>0.88883132126499342</c:v>
                </c:pt>
                <c:pt idx="43">
                  <c:v>0.91315668155538543</c:v>
                </c:pt>
                <c:pt idx="44">
                  <c:v>0.93477651343282164</c:v>
                </c:pt>
                <c:pt idx="45">
                  <c:v>0.9534695386513109</c:v>
                </c:pt>
                <c:pt idx="46">
                  <c:v>0.96904153781253588</c:v>
                </c:pt>
                <c:pt idx="47">
                  <c:v>0.98132870780107262</c:v>
                </c:pt>
                <c:pt idx="48">
                  <c:v>0.9902005294841405</c:v>
                </c:pt>
                <c:pt idx="49">
                  <c:v>0.99556207548901732</c:v>
                </c:pt>
                <c:pt idx="50">
                  <c:v>0.99735570100358184</c:v>
                </c:pt>
                <c:pt idx="51">
                  <c:v>0.9955620754890171</c:v>
                </c:pt>
                <c:pt idx="52">
                  <c:v>0.99020052948413984</c:v>
                </c:pt>
                <c:pt idx="53">
                  <c:v>0.98132870780107162</c:v>
                </c:pt>
                <c:pt idx="54">
                  <c:v>0.96904153781253466</c:v>
                </c:pt>
                <c:pt idx="55">
                  <c:v>0.95346953865130912</c:v>
                </c:pt>
                <c:pt idx="56">
                  <c:v>0.93477651343281976</c:v>
                </c:pt>
                <c:pt idx="57">
                  <c:v>0.91315668155538332</c:v>
                </c:pt>
                <c:pt idx="58">
                  <c:v>0.88883132126499098</c:v>
                </c:pt>
                <c:pt idx="59">
                  <c:v>0.86204500359833158</c:v>
                </c:pt>
                <c:pt idx="60">
                  <c:v>0.83306150722949701</c:v>
                </c:pt>
                <c:pt idx="61">
                  <c:v>0.80215950942792902</c:v>
                </c:pt>
                <c:pt idx="62">
                  <c:v>0.76962815117462979</c:v>
                </c:pt>
                <c:pt idx="63">
                  <c:v>0.73576257447081017</c:v>
                </c:pt>
                <c:pt idx="64">
                  <c:v>0.70085952709904853</c:v>
                </c:pt>
                <c:pt idx="65">
                  <c:v>0.66521312474688421</c:v>
                </c:pt>
                <c:pt idx="66">
                  <c:v>0.62911085274528977</c:v>
                </c:pt>
                <c:pt idx="67">
                  <c:v>0.59282988004844572</c:v>
                </c:pt>
                <c:pt idx="68">
                  <c:v>0.5566337468793997</c:v>
                </c:pt>
                <c:pt idx="69">
                  <c:v>0.52076947511776772</c:v>
                </c:pt>
                <c:pt idx="70">
                  <c:v>0.48546513745802899</c:v>
                </c:pt>
                <c:pt idx="71">
                  <c:v>0.4509279080676975</c:v>
                </c:pt>
                <c:pt idx="72">
                  <c:v>0.41734260435428128</c:v>
                </c:pt>
                <c:pt idx="73">
                  <c:v>0.38487071690658098</c:v>
                </c:pt>
                <c:pt idx="74">
                  <c:v>0.35364991306209381</c:v>
                </c:pt>
                <c:pt idx="75">
                  <c:v>0.32379398916472624</c:v>
                </c:pt>
                <c:pt idx="76">
                  <c:v>0.29539323764895276</c:v>
                </c:pt>
                <c:pt idx="77">
                  <c:v>0.26851518778370664</c:v>
                </c:pt>
                <c:pt idx="78">
                  <c:v>0.24320567332866594</c:v>
                </c:pt>
                <c:pt idx="79">
                  <c:v>0.21949017652726144</c:v>
                </c:pt>
                <c:pt idx="80">
                  <c:v>0.19737539575223287</c:v>
                </c:pt>
                <c:pt idx="81">
                  <c:v>0.17685098364245611</c:v>
                </c:pt>
                <c:pt idx="82">
                  <c:v>0.15789140358799431</c:v>
                </c:pt>
                <c:pt idx="83">
                  <c:v>0.14045785475966802</c:v>
                </c:pt>
                <c:pt idx="84">
                  <c:v>0.12450021933767499</c:v>
                </c:pt>
                <c:pt idx="85">
                  <c:v>0.10995898995106623</c:v>
                </c:pt>
                <c:pt idx="86">
                  <c:v>9.6767140368637344E-2</c:v>
                </c:pt>
                <c:pt idx="87">
                  <c:v>8.485190795612145E-2</c:v>
                </c:pt>
                <c:pt idx="88">
                  <c:v>7.4136462118351787E-2</c:v>
                </c:pt>
                <c:pt idx="89">
                  <c:v>6.454143867896793E-2</c:v>
                </c:pt>
                <c:pt idx="90">
                  <c:v>5.5986325737106137E-2</c:v>
                </c:pt>
                <c:pt idx="91">
                  <c:v>4.8390691829341352E-2</c:v>
                </c:pt>
                <c:pt idx="92">
                  <c:v>4.1675252093451721E-2</c:v>
                </c:pt>
                <c:pt idx="93">
                  <c:v>3.5762772485373406E-2</c:v>
                </c:pt>
                <c:pt idx="94">
                  <c:v>3.0578815878194211E-2</c:v>
                </c:pt>
                <c:pt idx="95">
                  <c:v>2.6052337036055848E-2</c:v>
                </c:pt>
                <c:pt idx="96">
                  <c:v>2.2116135995592475E-2</c:v>
                </c:pt>
                <c:pt idx="97">
                  <c:v>1.8707181314450892E-2</c:v>
                </c:pt>
                <c:pt idx="98">
                  <c:v>1.5766815990664373E-2</c:v>
                </c:pt>
                <c:pt idx="99">
                  <c:v>1.324085966327716E-2</c:v>
                </c:pt>
                <c:pt idx="100">
                  <c:v>1.1079621029844696E-2</c:v>
                </c:pt>
              </c:numCache>
            </c:numRef>
          </c:val>
          <c:smooth val="1"/>
        </c:ser>
        <c:ser>
          <c:idx val="1"/>
          <c:order val="1"/>
          <c:tx>
            <c:strRef>
              <c:f>Calculations!$E$11</c:f>
              <c:strCache>
                <c:ptCount val="1"/>
                <c:pt idx="0">
                  <c:v>Group 2</c:v>
                </c:pt>
              </c:strCache>
            </c:strRef>
          </c:tx>
          <c:spPr>
            <a:ln w="19050">
              <a:solidFill>
                <a:srgbClr val="FF0000"/>
              </a:solidFill>
              <a:prstDash val="sysDot"/>
            </a:ln>
          </c:spPr>
          <c:marker>
            <c:symbol val="none"/>
          </c:marker>
          <c:cat>
            <c:numRef>
              <c:f>Calculations!$A$12:$A$112</c:f>
              <c:numCache>
                <c:formatCode>0.000</c:formatCode>
                <c:ptCount val="101"/>
                <c:pt idx="0">
                  <c:v>0</c:v>
                </c:pt>
                <c:pt idx="1">
                  <c:v>1.2</c:v>
                </c:pt>
                <c:pt idx="2">
                  <c:v>2.4</c:v>
                </c:pt>
                <c:pt idx="3">
                  <c:v>3.5999999999999996</c:v>
                </c:pt>
                <c:pt idx="4">
                  <c:v>4.8</c:v>
                </c:pt>
                <c:pt idx="5">
                  <c:v>6</c:v>
                </c:pt>
                <c:pt idx="6">
                  <c:v>7.2</c:v>
                </c:pt>
                <c:pt idx="7">
                  <c:v>8.4</c:v>
                </c:pt>
                <c:pt idx="8">
                  <c:v>9.6</c:v>
                </c:pt>
                <c:pt idx="9">
                  <c:v>10.799999999999999</c:v>
                </c:pt>
                <c:pt idx="10">
                  <c:v>11.999999999999998</c:v>
                </c:pt>
                <c:pt idx="11">
                  <c:v>13.199999999999998</c:v>
                </c:pt>
                <c:pt idx="12">
                  <c:v>14.399999999999997</c:v>
                </c:pt>
                <c:pt idx="13">
                  <c:v>15.599999999999996</c:v>
                </c:pt>
                <c:pt idx="14">
                  <c:v>16.799999999999997</c:v>
                </c:pt>
                <c:pt idx="15">
                  <c:v>17.999999999999996</c:v>
                </c:pt>
                <c:pt idx="16">
                  <c:v>19.199999999999996</c:v>
                </c:pt>
                <c:pt idx="17">
                  <c:v>20.399999999999995</c:v>
                </c:pt>
                <c:pt idx="18">
                  <c:v>21.599999999999994</c:v>
                </c:pt>
                <c:pt idx="19">
                  <c:v>22.799999999999994</c:v>
                </c:pt>
                <c:pt idx="20">
                  <c:v>23.999999999999993</c:v>
                </c:pt>
                <c:pt idx="21">
                  <c:v>25.199999999999992</c:v>
                </c:pt>
                <c:pt idx="22">
                  <c:v>26.399999999999991</c:v>
                </c:pt>
                <c:pt idx="23">
                  <c:v>27.599999999999991</c:v>
                </c:pt>
                <c:pt idx="24">
                  <c:v>28.79999999999999</c:v>
                </c:pt>
                <c:pt idx="25">
                  <c:v>29.999999999999989</c:v>
                </c:pt>
                <c:pt idx="26">
                  <c:v>31.199999999999989</c:v>
                </c:pt>
                <c:pt idx="27">
                  <c:v>32.399999999999991</c:v>
                </c:pt>
                <c:pt idx="28">
                  <c:v>33.599999999999994</c:v>
                </c:pt>
                <c:pt idx="29">
                  <c:v>34.799999999999997</c:v>
                </c:pt>
                <c:pt idx="30">
                  <c:v>36</c:v>
                </c:pt>
                <c:pt idx="31">
                  <c:v>37.200000000000003</c:v>
                </c:pt>
                <c:pt idx="32">
                  <c:v>38.400000000000006</c:v>
                </c:pt>
                <c:pt idx="33">
                  <c:v>39.600000000000009</c:v>
                </c:pt>
                <c:pt idx="34">
                  <c:v>40.800000000000011</c:v>
                </c:pt>
                <c:pt idx="35">
                  <c:v>42.000000000000014</c:v>
                </c:pt>
                <c:pt idx="36">
                  <c:v>43.200000000000017</c:v>
                </c:pt>
                <c:pt idx="37">
                  <c:v>44.40000000000002</c:v>
                </c:pt>
                <c:pt idx="38">
                  <c:v>45.600000000000023</c:v>
                </c:pt>
                <c:pt idx="39">
                  <c:v>46.800000000000026</c:v>
                </c:pt>
                <c:pt idx="40">
                  <c:v>48.000000000000028</c:v>
                </c:pt>
                <c:pt idx="41">
                  <c:v>49.200000000000031</c:v>
                </c:pt>
                <c:pt idx="42">
                  <c:v>50.400000000000034</c:v>
                </c:pt>
                <c:pt idx="43">
                  <c:v>51.600000000000037</c:v>
                </c:pt>
                <c:pt idx="44">
                  <c:v>52.80000000000004</c:v>
                </c:pt>
                <c:pt idx="45">
                  <c:v>54.000000000000043</c:v>
                </c:pt>
                <c:pt idx="46">
                  <c:v>55.200000000000045</c:v>
                </c:pt>
                <c:pt idx="47">
                  <c:v>56.400000000000048</c:v>
                </c:pt>
                <c:pt idx="48">
                  <c:v>57.600000000000051</c:v>
                </c:pt>
                <c:pt idx="49">
                  <c:v>58.800000000000054</c:v>
                </c:pt>
                <c:pt idx="50">
                  <c:v>60.000000000000057</c:v>
                </c:pt>
                <c:pt idx="51">
                  <c:v>61.20000000000006</c:v>
                </c:pt>
                <c:pt idx="52">
                  <c:v>62.400000000000063</c:v>
                </c:pt>
                <c:pt idx="53">
                  <c:v>63.600000000000065</c:v>
                </c:pt>
                <c:pt idx="54">
                  <c:v>64.800000000000068</c:v>
                </c:pt>
                <c:pt idx="55">
                  <c:v>66.000000000000071</c:v>
                </c:pt>
                <c:pt idx="56">
                  <c:v>67.200000000000074</c:v>
                </c:pt>
                <c:pt idx="57">
                  <c:v>68.400000000000077</c:v>
                </c:pt>
                <c:pt idx="58">
                  <c:v>69.60000000000008</c:v>
                </c:pt>
                <c:pt idx="59">
                  <c:v>70.800000000000082</c:v>
                </c:pt>
                <c:pt idx="60">
                  <c:v>72.000000000000085</c:v>
                </c:pt>
                <c:pt idx="61">
                  <c:v>73.200000000000088</c:v>
                </c:pt>
                <c:pt idx="62">
                  <c:v>74.400000000000091</c:v>
                </c:pt>
                <c:pt idx="63">
                  <c:v>75.600000000000094</c:v>
                </c:pt>
                <c:pt idx="64">
                  <c:v>76.800000000000097</c:v>
                </c:pt>
                <c:pt idx="65">
                  <c:v>78.000000000000099</c:v>
                </c:pt>
                <c:pt idx="66">
                  <c:v>79.200000000000102</c:v>
                </c:pt>
                <c:pt idx="67">
                  <c:v>80.400000000000105</c:v>
                </c:pt>
                <c:pt idx="68">
                  <c:v>81.600000000000108</c:v>
                </c:pt>
                <c:pt idx="69">
                  <c:v>82.800000000000111</c:v>
                </c:pt>
                <c:pt idx="70">
                  <c:v>84.000000000000114</c:v>
                </c:pt>
                <c:pt idx="71">
                  <c:v>85.200000000000117</c:v>
                </c:pt>
                <c:pt idx="72">
                  <c:v>86.400000000000119</c:v>
                </c:pt>
                <c:pt idx="73">
                  <c:v>87.600000000000122</c:v>
                </c:pt>
                <c:pt idx="74">
                  <c:v>88.800000000000125</c:v>
                </c:pt>
                <c:pt idx="75">
                  <c:v>90.000000000000128</c:v>
                </c:pt>
                <c:pt idx="76">
                  <c:v>91.200000000000131</c:v>
                </c:pt>
                <c:pt idx="77">
                  <c:v>92.400000000000134</c:v>
                </c:pt>
                <c:pt idx="78">
                  <c:v>93.600000000000136</c:v>
                </c:pt>
                <c:pt idx="79">
                  <c:v>94.800000000000139</c:v>
                </c:pt>
                <c:pt idx="80">
                  <c:v>96.000000000000142</c:v>
                </c:pt>
                <c:pt idx="81">
                  <c:v>97.200000000000145</c:v>
                </c:pt>
                <c:pt idx="82">
                  <c:v>98.400000000000148</c:v>
                </c:pt>
                <c:pt idx="83">
                  <c:v>99.600000000000151</c:v>
                </c:pt>
                <c:pt idx="84">
                  <c:v>100.80000000000015</c:v>
                </c:pt>
                <c:pt idx="85">
                  <c:v>102.00000000000016</c:v>
                </c:pt>
                <c:pt idx="86">
                  <c:v>103.20000000000016</c:v>
                </c:pt>
                <c:pt idx="87">
                  <c:v>104.40000000000016</c:v>
                </c:pt>
                <c:pt idx="88">
                  <c:v>105.60000000000016</c:v>
                </c:pt>
                <c:pt idx="89">
                  <c:v>106.80000000000017</c:v>
                </c:pt>
                <c:pt idx="90">
                  <c:v>108.00000000000017</c:v>
                </c:pt>
                <c:pt idx="91">
                  <c:v>109.20000000000017</c:v>
                </c:pt>
                <c:pt idx="92">
                  <c:v>110.40000000000018</c:v>
                </c:pt>
                <c:pt idx="93">
                  <c:v>111.60000000000018</c:v>
                </c:pt>
                <c:pt idx="94">
                  <c:v>112.80000000000018</c:v>
                </c:pt>
                <c:pt idx="95">
                  <c:v>114.00000000000018</c:v>
                </c:pt>
                <c:pt idx="96">
                  <c:v>115.20000000000019</c:v>
                </c:pt>
                <c:pt idx="97">
                  <c:v>116.40000000000019</c:v>
                </c:pt>
                <c:pt idx="98">
                  <c:v>117.60000000000019</c:v>
                </c:pt>
                <c:pt idx="99">
                  <c:v>118.8000000000002</c:v>
                </c:pt>
                <c:pt idx="100">
                  <c:v>120.0000000000002</c:v>
                </c:pt>
              </c:numCache>
            </c:numRef>
          </c:cat>
          <c:val>
            <c:numRef>
              <c:f>Calculations!$E$12:$E$112</c:f>
              <c:numCache>
                <c:formatCode>0.00000</c:formatCode>
                <c:ptCount val="101"/>
                <c:pt idx="0">
                  <c:v>4.5569121373674644E-8</c:v>
                </c:pt>
                <c:pt idx="1">
                  <c:v>9.2947082356125975E-8</c:v>
                </c:pt>
                <c:pt idx="2">
                  <c:v>1.8687320229713243E-7</c:v>
                </c:pt>
                <c:pt idx="3">
                  <c:v>3.7034326703328364E-7</c:v>
                </c:pt>
                <c:pt idx="4">
                  <c:v>7.2344919632049978E-7</c:v>
                </c:pt>
                <c:pt idx="5">
                  <c:v>1.3930213834164673E-6</c:v>
                </c:pt>
                <c:pt idx="6">
                  <c:v>2.6439527344605427E-6</c:v>
                </c:pt>
                <c:pt idx="7">
                  <c:v>4.946474226431412E-6</c:v>
                </c:pt>
                <c:pt idx="8">
                  <c:v>9.1218719919848846E-6</c:v>
                </c:pt>
                <c:pt idx="9">
                  <c:v>1.6581291559263158E-5</c:v>
                </c:pt>
                <c:pt idx="10">
                  <c:v>2.9709743182740567E-5</c:v>
                </c:pt>
                <c:pt idx="11">
                  <c:v>5.2471756074527753E-5</c:v>
                </c:pt>
                <c:pt idx="12">
                  <c:v>9.1347877277014912E-5</c:v>
                </c:pt>
                <c:pt idx="13">
                  <c:v>1.5675358425337805E-4</c:v>
                </c:pt>
                <c:pt idx="14">
                  <c:v>2.6514452251329823E-4</c:v>
                </c:pt>
                <c:pt idx="15">
                  <c:v>4.4207300817404892E-4</c:v>
                </c:pt>
                <c:pt idx="16">
                  <c:v>7.2652656299039445E-4</c:v>
                </c:pt>
                <c:pt idx="17">
                  <c:v>1.1769422554914878E-3</c:v>
                </c:pt>
                <c:pt idx="18">
                  <c:v>1.8793383366814509E-3</c:v>
                </c:pt>
                <c:pt idx="19">
                  <c:v>2.9580189372686717E-3</c:v>
                </c:pt>
                <c:pt idx="20">
                  <c:v>4.5892644758532813E-3</c:v>
                </c:pt>
                <c:pt idx="21">
                  <c:v>7.0182911769560673E-3</c:v>
                </c:pt>
                <c:pt idx="22">
                  <c:v>1.0579516927060349E-2</c:v>
                </c:pt>
                <c:pt idx="23">
                  <c:v>1.5719779596434551E-2</c:v>
                </c:pt>
                <c:pt idx="24">
                  <c:v>2.3023599758285496E-2</c:v>
                </c:pt>
                <c:pt idx="25">
                  <c:v>3.323886308953497E-2</c:v>
                </c:pt>
                <c:pt idx="26">
                  <c:v>4.7300447971994286E-2</c:v>
                </c:pt>
                <c:pt idx="27">
                  <c:v>6.6348407986779059E-2</c:v>
                </c:pt>
                <c:pt idx="28">
                  <c:v>9.1736447634584661E-2</c:v>
                </c:pt>
                <c:pt idx="29">
                  <c:v>0.12502575628035781</c:v>
                </c:pt>
                <c:pt idx="30">
                  <c:v>0.16795897721132177</c:v>
                </c:pt>
                <c:pt idx="31">
                  <c:v>0.22240938635505958</c:v>
                </c:pt>
                <c:pt idx="32">
                  <c:v>0.29030142110591761</c:v>
                </c:pt>
                <c:pt idx="33">
                  <c:v>0.37350065801303151</c:v>
                </c:pt>
                <c:pt idx="34">
                  <c:v>0.4736742107639908</c:v>
                </c:pt>
                <c:pt idx="35">
                  <c:v>0.59212618725670785</c:v>
                </c:pt>
                <c:pt idx="36">
                  <c:v>0.72961701998600825</c:v>
                </c:pt>
                <c:pt idx="37">
                  <c:v>0.88617971294686981</c:v>
                </c:pt>
                <c:pt idx="38">
                  <c:v>1.0609497391862943</c:v>
                </c:pt>
                <c:pt idx="39">
                  <c:v>1.2520278130628582</c:v>
                </c:pt>
                <c:pt idx="40">
                  <c:v>1.4563954123741023</c:v>
                </c:pt>
                <c:pt idx="41">
                  <c:v>1.6699012406382141</c:v>
                </c:pt>
                <c:pt idx="42">
                  <c:v>1.8873325582358846</c:v>
                </c:pt>
                <c:pt idx="43">
                  <c:v>2.1025785812971609</c:v>
                </c:pt>
                <c:pt idx="44">
                  <c:v>2.3088844535239041</c:v>
                </c:pt>
                <c:pt idx="45">
                  <c:v>2.4991845216885036</c:v>
                </c:pt>
                <c:pt idx="46">
                  <c:v>2.6664939637949838</c:v>
                </c:pt>
                <c:pt idx="47">
                  <c:v>2.8043295402984678</c:v>
                </c:pt>
                <c:pt idx="48">
                  <c:v>2.9071246134376096</c:v>
                </c:pt>
                <c:pt idx="49">
                  <c:v>2.9706015884524226</c:v>
                </c:pt>
                <c:pt idx="50">
                  <c:v>2.9920671030107457</c:v>
                </c:pt>
                <c:pt idx="51">
                  <c:v>2.9706015884524182</c:v>
                </c:pt>
                <c:pt idx="52">
                  <c:v>2.9071246134376016</c:v>
                </c:pt>
                <c:pt idx="53">
                  <c:v>2.8043295402984567</c:v>
                </c:pt>
                <c:pt idx="54">
                  <c:v>2.6664939637949701</c:v>
                </c:pt>
                <c:pt idx="55">
                  <c:v>2.4991845216884867</c:v>
                </c:pt>
                <c:pt idx="56">
                  <c:v>2.3088844535238846</c:v>
                </c:pt>
                <c:pt idx="57">
                  <c:v>2.1025785812971409</c:v>
                </c:pt>
                <c:pt idx="58">
                  <c:v>1.8873325582358638</c:v>
                </c:pt>
                <c:pt idx="59">
                  <c:v>1.6699012406381937</c:v>
                </c:pt>
                <c:pt idx="60">
                  <c:v>1.4563954123740821</c:v>
                </c:pt>
                <c:pt idx="61">
                  <c:v>1.2520278130628393</c:v>
                </c:pt>
                <c:pt idx="62">
                  <c:v>1.0609497391862772</c:v>
                </c:pt>
                <c:pt idx="63">
                  <c:v>0.88617971294685427</c:v>
                </c:pt>
                <c:pt idx="64">
                  <c:v>0.72961701998599449</c:v>
                </c:pt>
                <c:pt idx="65">
                  <c:v>0.59212618725669552</c:v>
                </c:pt>
                <c:pt idx="66">
                  <c:v>0.47367421076398053</c:v>
                </c:pt>
                <c:pt idx="67">
                  <c:v>0.37350065801302268</c:v>
                </c:pt>
                <c:pt idx="68">
                  <c:v>0.29030142110591034</c:v>
                </c:pt>
                <c:pt idx="69">
                  <c:v>0.22240938635505397</c:v>
                </c:pt>
                <c:pt idx="70">
                  <c:v>0.16795897721131714</c:v>
                </c:pt>
                <c:pt idx="71">
                  <c:v>0.12502575628035431</c:v>
                </c:pt>
                <c:pt idx="72">
                  <c:v>9.1736447634581886E-2</c:v>
                </c:pt>
                <c:pt idx="73">
                  <c:v>6.6348407986776936E-2</c:v>
                </c:pt>
                <c:pt idx="74">
                  <c:v>4.730044797199278E-2</c:v>
                </c:pt>
                <c:pt idx="75">
                  <c:v>3.3238863089533763E-2</c:v>
                </c:pt>
                <c:pt idx="76">
                  <c:v>2.3023599758284635E-2</c:v>
                </c:pt>
                <c:pt idx="77">
                  <c:v>1.5719779596433895E-2</c:v>
                </c:pt>
                <c:pt idx="78">
                  <c:v>1.0579516927059888E-2</c:v>
                </c:pt>
                <c:pt idx="79">
                  <c:v>7.0182911769557602E-3</c:v>
                </c:pt>
                <c:pt idx="80">
                  <c:v>4.5892644758530575E-3</c:v>
                </c:pt>
                <c:pt idx="81">
                  <c:v>2.9580189372685169E-3</c:v>
                </c:pt>
                <c:pt idx="82">
                  <c:v>1.8793383366813474E-3</c:v>
                </c:pt>
                <c:pt idx="83">
                  <c:v>1.1769422554914219E-3</c:v>
                </c:pt>
                <c:pt idx="84">
                  <c:v>7.2652656299034934E-4</c:v>
                </c:pt>
                <c:pt idx="85">
                  <c:v>4.4207300817402067E-4</c:v>
                </c:pt>
                <c:pt idx="86">
                  <c:v>2.6514452251327986E-4</c:v>
                </c:pt>
                <c:pt idx="87">
                  <c:v>1.5675358425336691E-4</c:v>
                </c:pt>
                <c:pt idx="88">
                  <c:v>9.1347877277008272E-5</c:v>
                </c:pt>
                <c:pt idx="89">
                  <c:v>5.2471756074523837E-5</c:v>
                </c:pt>
                <c:pt idx="90">
                  <c:v>2.9709743182738192E-5</c:v>
                </c:pt>
                <c:pt idx="91">
                  <c:v>1.6581291559261715E-5</c:v>
                </c:pt>
                <c:pt idx="92">
                  <c:v>9.1218719919840748E-6</c:v>
                </c:pt>
                <c:pt idx="93">
                  <c:v>4.9464742264309639E-6</c:v>
                </c:pt>
                <c:pt idx="94">
                  <c:v>2.6439527344602797E-6</c:v>
                </c:pt>
                <c:pt idx="95">
                  <c:v>1.3930213834163336E-6</c:v>
                </c:pt>
                <c:pt idx="96">
                  <c:v>7.2344919632042534E-7</c:v>
                </c:pt>
                <c:pt idx="97">
                  <c:v>3.7034326703324288E-7</c:v>
                </c:pt>
                <c:pt idx="98">
                  <c:v>1.8687320229711115E-7</c:v>
                </c:pt>
                <c:pt idx="99">
                  <c:v>9.2947082356115056E-8</c:v>
                </c:pt>
                <c:pt idx="100">
                  <c:v>4.5569121373669298E-8</c:v>
                </c:pt>
              </c:numCache>
            </c:numRef>
          </c:val>
          <c:smooth val="1"/>
        </c:ser>
        <c:dLbls>
          <c:showLegendKey val="0"/>
          <c:showVal val="0"/>
          <c:showCatName val="0"/>
          <c:showSerName val="0"/>
          <c:showPercent val="0"/>
          <c:showBubbleSize val="0"/>
        </c:dLbls>
        <c:marker val="1"/>
        <c:smooth val="0"/>
        <c:axId val="174569472"/>
        <c:axId val="196335808"/>
      </c:lineChart>
      <c:catAx>
        <c:axId val="174569472"/>
        <c:scaling>
          <c:orientation val="minMax"/>
        </c:scaling>
        <c:delete val="0"/>
        <c:axPos val="b"/>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6335808"/>
        <c:crosses val="autoZero"/>
        <c:auto val="0"/>
        <c:lblAlgn val="ctr"/>
        <c:lblOffset val="100"/>
        <c:tickLblSkip val="10"/>
        <c:tickMarkSkip val="10"/>
        <c:noMultiLvlLbl val="0"/>
      </c:catAx>
      <c:valAx>
        <c:axId val="196335808"/>
        <c:scaling>
          <c:orientation val="minMax"/>
        </c:scaling>
        <c:delete val="1"/>
        <c:axPos val="l"/>
        <c:numFmt formatCode="0.00000" sourceLinked="1"/>
        <c:majorTickMark val="out"/>
        <c:minorTickMark val="none"/>
        <c:tickLblPos val="nextTo"/>
        <c:crossAx val="174569472"/>
        <c:crosses val="autoZero"/>
        <c:crossBetween val="midCat"/>
      </c:valAx>
      <c:spPr>
        <a:noFill/>
        <a:ln w="25400">
          <a:noFill/>
        </a:ln>
      </c:spPr>
    </c:plotArea>
    <c:legend>
      <c:legendPos val="b"/>
      <c:layout>
        <c:manualLayout>
          <c:xMode val="edge"/>
          <c:yMode val="edge"/>
          <c:x val="0.2879177377892031"/>
          <c:y val="0.87337662337662336"/>
          <c:w val="0.43444730077120824"/>
          <c:h val="0.1038961038961039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11</xdr:row>
      <xdr:rowOff>9525</xdr:rowOff>
    </xdr:from>
    <xdr:to>
      <xdr:col>8</xdr:col>
      <xdr:colOff>0</xdr:colOff>
      <xdr:row>29</xdr:row>
      <xdr:rowOff>28575</xdr:rowOff>
    </xdr:to>
    <xdr:graphicFrame macro="">
      <xdr:nvGraphicFramePr>
        <xdr:cNvPr id="10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228600</xdr:colOff>
      <xdr:row>11</xdr:row>
      <xdr:rowOff>19050</xdr:rowOff>
    </xdr:from>
    <xdr:to>
      <xdr:col>13</xdr:col>
      <xdr:colOff>1028700</xdr:colOff>
      <xdr:row>29</xdr:row>
      <xdr:rowOff>38100</xdr:rowOff>
    </xdr:to>
    <xdr:graphicFrame macro="">
      <xdr:nvGraphicFramePr>
        <xdr:cNvPr id="10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0.01375</cdr:x>
      <cdr:y>0.01732</cdr:y>
    </cdr:from>
    <cdr:to>
      <cdr:x>0.01375</cdr:x>
      <cdr:y>0.01732</cdr:y>
    </cdr:to>
    <cdr:sp macro="" textlink="">
      <cdr:nvSpPr>
        <cdr:cNvPr id="2" name="DVCHARTID" hidden="1"/>
        <cdr:cNvSpPr txBox="1"/>
      </cdr:nvSpPr>
      <cdr:spPr>
        <a:xfrm xmlns:a="http://schemas.openxmlformats.org/drawingml/2006/main">
          <a:off x="50800" y="50800"/>
          <a:ext cx="0" cy="0"/>
        </a:xfrm>
        <a:prstGeom xmlns:a="http://schemas.openxmlformats.org/drawingml/2006/main" prst="rect">
          <a:avLst/>
        </a:prstGeom>
      </cdr:spPr>
      <cdr:txBody>
        <a:bodyPr xmlns:a="http://schemas.openxmlformats.org/drawingml/2006/main" vertOverflow="clip" vert="vert" rtlCol="0" anchor="ctr"/>
        <a:lstStyle xmlns:a="http://schemas.openxmlformats.org/drawingml/2006/main"/>
        <a:p xmlns:a="http://schemas.openxmlformats.org/drawingml/2006/main">
          <a:pPr algn="r"/>
          <a:r>
            <a:rPr lang="en-US" sz="1100"/>
            <a:t>h4Eyay8IgyeRH4XGIBIzfh</a:t>
          </a:r>
        </a:p>
      </cdr:txBody>
    </cdr:sp>
  </cdr:relSizeAnchor>
</c:userShapes>
</file>

<file path=xl/drawings/drawing3.xml><?xml version="1.0" encoding="utf-8"?>
<c:userShapes xmlns:c="http://schemas.openxmlformats.org/drawingml/2006/chart">
  <cdr:relSizeAnchor xmlns:cdr="http://schemas.openxmlformats.org/drawingml/2006/chartDrawing">
    <cdr:from>
      <cdr:x>0.01371</cdr:x>
      <cdr:y>0.01732</cdr:y>
    </cdr:from>
    <cdr:to>
      <cdr:x>0.01371</cdr:x>
      <cdr:y>0.01732</cdr:y>
    </cdr:to>
    <cdr:sp macro="" textlink="">
      <cdr:nvSpPr>
        <cdr:cNvPr id="2" name="DVCHARTID" hidden="1"/>
        <cdr:cNvSpPr txBox="1"/>
      </cdr:nvSpPr>
      <cdr:spPr>
        <a:xfrm xmlns:a="http://schemas.openxmlformats.org/drawingml/2006/main">
          <a:off x="50800" y="50800"/>
          <a:ext cx="0" cy="0"/>
        </a:xfrm>
        <a:prstGeom xmlns:a="http://schemas.openxmlformats.org/drawingml/2006/main" prst="rect">
          <a:avLst/>
        </a:prstGeom>
      </cdr:spPr>
      <cdr:txBody>
        <a:bodyPr xmlns:a="http://schemas.openxmlformats.org/drawingml/2006/main" vertOverflow="clip" vert="vert" rtlCol="0" anchor="ctr"/>
        <a:lstStyle xmlns:a="http://schemas.openxmlformats.org/drawingml/2006/main"/>
        <a:p xmlns:a="http://schemas.openxmlformats.org/drawingml/2006/main">
          <a:pPr algn="r"/>
          <a:r>
            <a:rPr lang="en-US" sz="1100"/>
            <a:t>CigtlDTlsW2A51bpSSmXIL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B1:O25"/>
  <sheetViews>
    <sheetView showGridLines="0" showRowColHeaders="0" showOutlineSymbols="0" workbookViewId="0">
      <selection activeCell="D5" sqref="D5"/>
    </sheetView>
  </sheetViews>
  <sheetFormatPr defaultRowHeight="13.2" x14ac:dyDescent="0.25"/>
  <cols>
    <col min="1" max="1" width="2.88671875" customWidth="1"/>
    <col min="3" max="3" width="5.88671875" customWidth="1"/>
    <col min="7" max="7" width="3.109375" customWidth="1"/>
    <col min="8" max="8" width="10.109375" customWidth="1"/>
    <col min="9" max="9" width="9.88671875" customWidth="1"/>
    <col min="10" max="10" width="5.88671875" customWidth="1"/>
    <col min="13" max="13" width="9.5546875" style="5" bestFit="1" customWidth="1"/>
    <col min="14" max="14" width="15.5546875" style="5" customWidth="1"/>
    <col min="15" max="15" width="10.109375" style="5" bestFit="1" customWidth="1"/>
  </cols>
  <sheetData>
    <row r="1" spans="2:15" ht="17.25" customHeight="1" x14ac:dyDescent="0.25"/>
    <row r="2" spans="2:15" s="1" customFormat="1" ht="20.399999999999999" x14ac:dyDescent="0.35">
      <c r="B2" s="17" t="s">
        <v>62</v>
      </c>
      <c r="K2" s="50" t="s">
        <v>44</v>
      </c>
      <c r="L2" s="50"/>
      <c r="M2" s="4"/>
      <c r="N2" s="4"/>
      <c r="O2" s="4"/>
    </row>
    <row r="3" spans="2:15" x14ac:dyDescent="0.25">
      <c r="B3" s="6" t="s">
        <v>50</v>
      </c>
      <c r="G3" s="32"/>
      <c r="H3" s="50" t="s">
        <v>39</v>
      </c>
      <c r="I3" s="50"/>
      <c r="K3" s="2" t="s">
        <v>5</v>
      </c>
      <c r="L3" s="2" t="s">
        <v>6</v>
      </c>
      <c r="M3" s="30" t="s">
        <v>43</v>
      </c>
    </row>
    <row r="4" spans="2:15" x14ac:dyDescent="0.25">
      <c r="D4" s="2" t="s">
        <v>2</v>
      </c>
      <c r="E4" s="2" t="s">
        <v>3</v>
      </c>
      <c r="F4" s="2" t="s">
        <v>4</v>
      </c>
      <c r="H4" s="2" t="s">
        <v>5</v>
      </c>
      <c r="I4" s="2" t="s">
        <v>6</v>
      </c>
      <c r="K4" s="2" t="s">
        <v>13</v>
      </c>
      <c r="L4" s="2" t="s">
        <v>13</v>
      </c>
      <c r="M4" s="31" t="s">
        <v>42</v>
      </c>
      <c r="N4" s="2" t="s">
        <v>8</v>
      </c>
    </row>
    <row r="5" spans="2:15" x14ac:dyDescent="0.25">
      <c r="B5" s="7" t="s">
        <v>0</v>
      </c>
      <c r="D5" s="25">
        <v>60</v>
      </c>
      <c r="E5" s="25">
        <v>20</v>
      </c>
      <c r="F5" s="25">
        <v>50</v>
      </c>
      <c r="G5" s="26"/>
      <c r="H5" s="36">
        <v>1</v>
      </c>
      <c r="I5" s="25">
        <v>-1</v>
      </c>
      <c r="J5" s="34" t="s">
        <v>34</v>
      </c>
      <c r="K5" s="18">
        <f>Calculations!$K$13</f>
        <v>19.605185580328747</v>
      </c>
      <c r="L5" s="18">
        <f>F5-K5</f>
        <v>30.394814419671253</v>
      </c>
      <c r="M5" s="19">
        <f>K5/F5</f>
        <v>0.39210371160657492</v>
      </c>
      <c r="N5" s="19">
        <f>K5*H5+L5*I5</f>
        <v>-10.789628839342505</v>
      </c>
    </row>
    <row r="6" spans="2:15" x14ac:dyDescent="0.25">
      <c r="B6" s="6" t="s">
        <v>1</v>
      </c>
      <c r="D6" s="25">
        <v>60</v>
      </c>
      <c r="E6" s="25">
        <v>10</v>
      </c>
      <c r="F6" s="25">
        <v>50</v>
      </c>
      <c r="G6" s="26"/>
      <c r="H6" s="25">
        <v>-1</v>
      </c>
      <c r="I6" s="25">
        <v>2</v>
      </c>
      <c r="J6" s="33" t="s">
        <v>35</v>
      </c>
      <c r="K6" s="18">
        <f>F6-L6</f>
        <v>4.3483636271308583</v>
      </c>
      <c r="L6" s="18">
        <f>Calculations!$K$14</f>
        <v>45.651636372869142</v>
      </c>
      <c r="M6" s="19">
        <f>L6/F6</f>
        <v>0.91303272745738284</v>
      </c>
      <c r="N6" s="19">
        <f>K6*H6+L6*I6</f>
        <v>86.954909118607418</v>
      </c>
    </row>
    <row r="7" spans="2:15" x14ac:dyDescent="0.25">
      <c r="C7" s="8"/>
      <c r="J7" s="35" t="s">
        <v>40</v>
      </c>
      <c r="K7" s="18">
        <f>SUM(K5:K6)</f>
        <v>23.953549207459606</v>
      </c>
      <c r="L7" s="18">
        <f>SUM(L5:L6)</f>
        <v>76.046450792540398</v>
      </c>
      <c r="M7" s="19">
        <f>(K5+L6)/(F5+F6)</f>
        <v>0.65256821953197885</v>
      </c>
      <c r="N7" s="20">
        <f>SUM(N5:N6)</f>
        <v>76.16528027926492</v>
      </c>
    </row>
    <row r="8" spans="2:15" s="23" customFormat="1" ht="18" thickBot="1" x14ac:dyDescent="0.35">
      <c r="B8" s="23" t="s">
        <v>41</v>
      </c>
      <c r="E8" s="22" t="str">
        <f>IF(AND(H5&gt;I5,I6&gt;H6),"","Oooops! Utility for a correct classification of an actual case must be larger than utility of an incorrect classification of that case.")</f>
        <v/>
      </c>
      <c r="M8" s="24"/>
      <c r="N8" s="24"/>
      <c r="O8" s="24"/>
    </row>
    <row r="9" spans="2:15" x14ac:dyDescent="0.25">
      <c r="B9" s="9" t="str">
        <f>Calculations!I11</f>
        <v>There are two cut points:</v>
      </c>
      <c r="C9" s="10"/>
      <c r="D9" s="10"/>
      <c r="E9" s="21">
        <f>Calculations!$L$11</f>
        <v>42.883829955911203</v>
      </c>
      <c r="F9" s="21">
        <f>Calculations!$M$11</f>
        <v>77.11617004408879</v>
      </c>
      <c r="G9" s="10"/>
      <c r="H9" s="10"/>
      <c r="I9" s="10"/>
      <c r="J9" s="10"/>
      <c r="K9" s="10"/>
      <c r="L9" s="10"/>
      <c r="M9" s="11"/>
      <c r="N9" s="12"/>
    </row>
    <row r="10" spans="2:15" ht="13.8" thickBot="1" x14ac:dyDescent="0.3">
      <c r="B10" s="13" t="str">
        <f>Calculations!I12</f>
        <v>Classify cases between the cut points as</v>
      </c>
      <c r="C10" s="14"/>
      <c r="D10" s="14"/>
      <c r="E10" s="14"/>
      <c r="F10" s="14"/>
      <c r="G10" s="14" t="str">
        <f>Calculations!$M$12</f>
        <v>Group 2</v>
      </c>
      <c r="H10" s="14"/>
      <c r="I10" s="14"/>
      <c r="J10" s="14"/>
      <c r="K10" s="14"/>
      <c r="L10" s="14"/>
      <c r="M10" s="15"/>
      <c r="N10" s="16"/>
    </row>
    <row r="15" spans="2:15" x14ac:dyDescent="0.25">
      <c r="B15" s="3"/>
    </row>
    <row r="16" spans="2:15" x14ac:dyDescent="0.25">
      <c r="B16" s="3"/>
    </row>
    <row r="17" spans="2:2" x14ac:dyDescent="0.25">
      <c r="B17" s="3"/>
    </row>
    <row r="18" spans="2:2" x14ac:dyDescent="0.25">
      <c r="B18" s="3"/>
    </row>
    <row r="19" spans="2:2" x14ac:dyDescent="0.25">
      <c r="B19" s="3"/>
    </row>
    <row r="20" spans="2:2" x14ac:dyDescent="0.25">
      <c r="B20" s="3"/>
    </row>
    <row r="21" spans="2:2" x14ac:dyDescent="0.25">
      <c r="B21" s="3"/>
    </row>
    <row r="22" spans="2:2" x14ac:dyDescent="0.25">
      <c r="B22" s="3"/>
    </row>
    <row r="23" spans="2:2" x14ac:dyDescent="0.25">
      <c r="B23" s="3"/>
    </row>
    <row r="24" spans="2:2" x14ac:dyDescent="0.25">
      <c r="B24" s="3"/>
    </row>
    <row r="25" spans="2:2" x14ac:dyDescent="0.25">
      <c r="B25" s="3"/>
    </row>
  </sheetData>
  <sheetProtection password="D2C5" sheet="1" objects="1" scenarios="1" selectLockedCells="1"/>
  <mergeCells count="2">
    <mergeCell ref="K2:L2"/>
    <mergeCell ref="H3:I3"/>
  </mergeCells>
  <phoneticPr fontId="2" type="noConversion"/>
  <pageMargins left="0.75" right="0.75" top="1" bottom="1" header="0.5" footer="0.5"/>
  <pageSetup scale="96" orientation="landscape" horizontalDpi="300" verticalDpi="300" r:id="rId1"/>
  <headerFooter alignWithMargins="0"/>
  <customProperties>
    <customPr name="DVSECTIONID" r:id="rId2"/>
  </customPropertie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0"/>
    <pageSetUpPr autoPageBreaks="0"/>
  </sheetPr>
  <dimension ref="B2:D16"/>
  <sheetViews>
    <sheetView showGridLines="0" showRowColHeaders="0" tabSelected="1" showOutlineSymbols="0" workbookViewId="0">
      <selection activeCell="D8" sqref="D8"/>
    </sheetView>
  </sheetViews>
  <sheetFormatPr defaultColWidth="9.109375" defaultRowHeight="17.399999999999999" x14ac:dyDescent="0.3"/>
  <cols>
    <col min="1" max="1" width="4" style="28" customWidth="1"/>
    <col min="2" max="2" width="25.88671875" style="29" customWidth="1"/>
    <col min="3" max="3" width="9.109375" style="28"/>
    <col min="4" max="4" width="35.6640625" style="28" customWidth="1"/>
    <col min="5" max="16384" width="9.109375" style="28"/>
  </cols>
  <sheetData>
    <row r="2" spans="2:4" x14ac:dyDescent="0.3">
      <c r="B2" s="29" t="s">
        <v>56</v>
      </c>
      <c r="D2" s="49" t="s">
        <v>71</v>
      </c>
    </row>
    <row r="3" spans="2:4" x14ac:dyDescent="0.3">
      <c r="D3" s="28" t="s">
        <v>58</v>
      </c>
    </row>
    <row r="4" spans="2:4" x14ac:dyDescent="0.3">
      <c r="B4" s="29" t="s">
        <v>63</v>
      </c>
      <c r="D4" s="28" t="s">
        <v>61</v>
      </c>
    </row>
    <row r="5" spans="2:4" x14ac:dyDescent="0.3">
      <c r="B5" s="29" t="s">
        <v>55</v>
      </c>
    </row>
    <row r="6" spans="2:4" x14ac:dyDescent="0.3">
      <c r="B6" s="29" t="s">
        <v>60</v>
      </c>
    </row>
    <row r="8" spans="2:4" x14ac:dyDescent="0.3">
      <c r="B8" s="29" t="s">
        <v>8</v>
      </c>
      <c r="D8" s="48" t="s">
        <v>65</v>
      </c>
    </row>
    <row r="9" spans="2:4" x14ac:dyDescent="0.3">
      <c r="B9" s="29" t="s">
        <v>53</v>
      </c>
      <c r="D9" s="48" t="s">
        <v>70</v>
      </c>
    </row>
    <row r="10" spans="2:4" x14ac:dyDescent="0.3">
      <c r="B10" s="29" t="s">
        <v>57</v>
      </c>
      <c r="D10" s="47"/>
    </row>
    <row r="11" spans="2:4" x14ac:dyDescent="0.3">
      <c r="B11" s="29" t="s">
        <v>51</v>
      </c>
      <c r="D11" s="48" t="s">
        <v>66</v>
      </c>
    </row>
    <row r="12" spans="2:4" x14ac:dyDescent="0.3">
      <c r="B12" s="29" t="s">
        <v>57</v>
      </c>
      <c r="D12" s="48" t="s">
        <v>67</v>
      </c>
    </row>
    <row r="13" spans="2:4" x14ac:dyDescent="0.3">
      <c r="D13" s="47"/>
    </row>
    <row r="14" spans="2:4" x14ac:dyDescent="0.3">
      <c r="B14" s="29" t="s">
        <v>52</v>
      </c>
      <c r="D14" s="48" t="s">
        <v>68</v>
      </c>
    </row>
    <row r="15" spans="2:4" x14ac:dyDescent="0.3">
      <c r="D15" s="48" t="s">
        <v>69</v>
      </c>
    </row>
    <row r="16" spans="2:4" x14ac:dyDescent="0.3">
      <c r="B16" s="29" t="s">
        <v>54</v>
      </c>
      <c r="D16" s="46"/>
    </row>
  </sheetData>
  <sheetProtection password="D49D" sheet="1" objects="1" scenarios="1"/>
  <phoneticPr fontId="2" type="noConversion"/>
  <pageMargins left="0.75" right="0.75" top="1" bottom="1" header="0.5" footer="0.5"/>
  <pageSetup orientation="portrait" horizontalDpi="300" verticalDpi="300" r:id="rId1"/>
  <headerFooter alignWithMargins="0"/>
  <customProperties>
    <customPr name="DVSECTION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Q128"/>
  <sheetViews>
    <sheetView showGridLines="0" showRowColHeaders="0" showOutlineSymbols="0" workbookViewId="0">
      <selection activeCell="T13" sqref="T13"/>
    </sheetView>
  </sheetViews>
  <sheetFormatPr defaultColWidth="9.109375" defaultRowHeight="13.2" x14ac:dyDescent="0.25"/>
  <cols>
    <col min="1" max="5" width="9.109375" style="27"/>
    <col min="6" max="6" width="17.5546875" style="27" customWidth="1"/>
    <col min="7" max="8" width="9.109375" style="27"/>
    <col min="9" max="9" width="7.6640625" style="27" customWidth="1"/>
    <col min="10" max="10" width="7.88671875" style="27" customWidth="1"/>
    <col min="11" max="16384" width="9.109375" style="27"/>
  </cols>
  <sheetData>
    <row r="1" spans="1:17" x14ac:dyDescent="0.25">
      <c r="A1" s="37"/>
      <c r="B1" s="37" t="s">
        <v>5</v>
      </c>
      <c r="C1" s="37" t="s">
        <v>6</v>
      </c>
      <c r="D1" s="37"/>
      <c r="E1" s="37"/>
      <c r="F1" s="37"/>
      <c r="G1" s="37"/>
      <c r="H1" s="37"/>
      <c r="I1" s="37" t="s">
        <v>45</v>
      </c>
      <c r="J1" s="37" t="e">
        <f>G9</f>
        <v>#DIV/0!</v>
      </c>
      <c r="K1" s="37" t="s">
        <v>32</v>
      </c>
      <c r="L1" s="37"/>
      <c r="M1" s="37"/>
      <c r="N1" s="37"/>
      <c r="O1" s="37"/>
      <c r="P1" s="37"/>
      <c r="Q1" s="38"/>
    </row>
    <row r="2" spans="1:17" x14ac:dyDescent="0.25">
      <c r="A2" s="39" t="s">
        <v>10</v>
      </c>
      <c r="B2" s="37">
        <f>UTIL!$D$5</f>
        <v>60</v>
      </c>
      <c r="C2" s="37">
        <f>UTIL!$D$6</f>
        <v>60</v>
      </c>
      <c r="D2" s="39" t="s">
        <v>22</v>
      </c>
      <c r="E2" s="37">
        <f>(I4-H4)/(H3-I3)</f>
        <v>1.5</v>
      </c>
      <c r="F2" s="39" t="s">
        <v>18</v>
      </c>
      <c r="G2" s="37">
        <f>LN((C4/B4)*(B3/C3)*E2)</f>
        <v>1.0986122886681098</v>
      </c>
      <c r="H2" s="37" t="s">
        <v>30</v>
      </c>
      <c r="I2" s="37" t="s">
        <v>59</v>
      </c>
      <c r="J2" s="37"/>
      <c r="K2" s="37"/>
      <c r="L2" s="37" t="s">
        <v>28</v>
      </c>
      <c r="M2" s="37" t="s">
        <v>29</v>
      </c>
      <c r="N2" s="37"/>
      <c r="O2" s="37"/>
      <c r="P2" s="37"/>
      <c r="Q2" s="38"/>
    </row>
    <row r="3" spans="1:17" x14ac:dyDescent="0.25">
      <c r="A3" s="39" t="s">
        <v>3</v>
      </c>
      <c r="B3" s="39">
        <f>UTIL!$E$5</f>
        <v>20</v>
      </c>
      <c r="C3" s="37">
        <f>UTIL!$E$6</f>
        <v>10</v>
      </c>
      <c r="D3" s="39"/>
      <c r="E3" s="37"/>
      <c r="F3" s="39" t="s">
        <v>19</v>
      </c>
      <c r="G3" s="37">
        <f>((B2-C2)^2+2*(B3^2-C3^2)*G2)</f>
        <v>659.16737320086588</v>
      </c>
      <c r="H3" s="37">
        <f>UTIL!H5</f>
        <v>1</v>
      </c>
      <c r="I3" s="37">
        <f>UTIL!I5</f>
        <v>-1</v>
      </c>
      <c r="J3" s="39" t="s">
        <v>34</v>
      </c>
      <c r="K3" s="37" t="e">
        <f>NORMDIST(J1,B2,B3,TRUE)</f>
        <v>#DIV/0!</v>
      </c>
      <c r="L3" s="37" t="e">
        <f>IF(B2&lt;C2,K3*B4,(1-K3)*B4)</f>
        <v>#DIV/0!</v>
      </c>
      <c r="M3" s="37" t="e">
        <f>B$4-L3</f>
        <v>#DIV/0!</v>
      </c>
      <c r="N3" s="37" t="s">
        <v>8</v>
      </c>
      <c r="O3" s="37" t="e">
        <f>L3*H$3</f>
        <v>#DIV/0!</v>
      </c>
      <c r="P3" s="37" t="e">
        <f>M3*I$3</f>
        <v>#DIV/0!</v>
      </c>
      <c r="Q3" s="38"/>
    </row>
    <row r="4" spans="1:17" x14ac:dyDescent="0.25">
      <c r="A4" s="39" t="s">
        <v>13</v>
      </c>
      <c r="B4" s="37">
        <f>UTIL!$F$5</f>
        <v>50</v>
      </c>
      <c r="C4" s="37">
        <f>UTIL!$F$6</f>
        <v>50</v>
      </c>
      <c r="D4" s="39" t="s">
        <v>14</v>
      </c>
      <c r="E4" s="37">
        <f>(E6-E5)/100</f>
        <v>1.2</v>
      </c>
      <c r="F4" s="39" t="s">
        <v>24</v>
      </c>
      <c r="G4" s="37">
        <f>(B3*C3)*SQRT(G3)</f>
        <v>5134.8510132266383</v>
      </c>
      <c r="H4" s="37">
        <f>UTIL!H6</f>
        <v>-1</v>
      </c>
      <c r="I4" s="37">
        <f>UTIL!I6</f>
        <v>2</v>
      </c>
      <c r="J4" s="39" t="s">
        <v>35</v>
      </c>
      <c r="K4" s="37" t="e">
        <f>NORMDIST(J1,C2,C3,TRUE)</f>
        <v>#DIV/0!</v>
      </c>
      <c r="L4" s="37" t="e">
        <f>IF(B2&lt;C2,(1-K4)*C4,K4*C4)</f>
        <v>#DIV/0!</v>
      </c>
      <c r="M4" s="37" t="e">
        <f>C$4-L4</f>
        <v>#DIV/0!</v>
      </c>
      <c r="N4" s="40" t="e">
        <f>O3+P3+O4+P4</f>
        <v>#DIV/0!</v>
      </c>
      <c r="O4" s="37" t="e">
        <f>L4*I$4</f>
        <v>#DIV/0!</v>
      </c>
      <c r="P4" s="37" t="e">
        <f>M4*H$4</f>
        <v>#DIV/0!</v>
      </c>
      <c r="Q4" s="38"/>
    </row>
    <row r="5" spans="1:17" x14ac:dyDescent="0.25">
      <c r="A5" s="39" t="s">
        <v>11</v>
      </c>
      <c r="B5" s="37">
        <f>B2-3*B3</f>
        <v>0</v>
      </c>
      <c r="C5" s="37">
        <f>C2-3*C3</f>
        <v>30</v>
      </c>
      <c r="D5" s="39" t="s">
        <v>20</v>
      </c>
      <c r="E5" s="37">
        <f>MIN(B5,C5)</f>
        <v>0</v>
      </c>
      <c r="F5" s="39" t="s">
        <v>25</v>
      </c>
      <c r="G5" s="37">
        <f>(C2*B3*B3-B2*C3*C3)</f>
        <v>18000</v>
      </c>
      <c r="H5" s="37"/>
      <c r="I5" s="37"/>
      <c r="J5" s="37"/>
      <c r="K5" s="37" t="s">
        <v>33</v>
      </c>
      <c r="L5" s="37"/>
      <c r="M5" s="37"/>
      <c r="N5" s="37"/>
      <c r="O5" s="37"/>
      <c r="P5" s="37"/>
      <c r="Q5" s="38"/>
    </row>
    <row r="6" spans="1:17" x14ac:dyDescent="0.25">
      <c r="A6" s="39" t="s">
        <v>7</v>
      </c>
      <c r="B6" s="37">
        <f>B2+3*B3</f>
        <v>120</v>
      </c>
      <c r="C6" s="37">
        <f>C2+3*C3</f>
        <v>90</v>
      </c>
      <c r="D6" s="39" t="s">
        <v>21</v>
      </c>
      <c r="E6" s="37">
        <f>MAX(B6,C6)</f>
        <v>120</v>
      </c>
      <c r="F6" s="39" t="s">
        <v>36</v>
      </c>
      <c r="G6" s="37">
        <f>IF(G10&gt;G11,G11,G10)</f>
        <v>42.883829955911203</v>
      </c>
      <c r="H6" s="37"/>
      <c r="I6" s="37" t="s">
        <v>31</v>
      </c>
      <c r="J6" s="39" t="s">
        <v>34</v>
      </c>
      <c r="K6" s="37">
        <f>1-(NORMDIST(G7,B2,B3,TRUE)-NORMDIST(G6,B2,B3,TRUE))</f>
        <v>0.39210371160657498</v>
      </c>
      <c r="L6" s="37">
        <f>IF(G10&gt;G11,(1-K6)*B4,K6*B4)</f>
        <v>19.605185580328747</v>
      </c>
      <c r="M6" s="37">
        <f>B$4-L6</f>
        <v>30.394814419671253</v>
      </c>
      <c r="N6" s="37" t="s">
        <v>8</v>
      </c>
      <c r="O6" s="37">
        <f>L6*H$3</f>
        <v>19.605185580328747</v>
      </c>
      <c r="P6" s="37">
        <f>M6*I$3</f>
        <v>-30.394814419671253</v>
      </c>
      <c r="Q6" s="38"/>
    </row>
    <row r="7" spans="1:17" x14ac:dyDescent="0.25">
      <c r="A7" s="39" t="s">
        <v>16</v>
      </c>
      <c r="B7" s="37">
        <f>B4</f>
        <v>50</v>
      </c>
      <c r="C7" s="37">
        <f>C4*E2</f>
        <v>75</v>
      </c>
      <c r="D7" s="39" t="s">
        <v>46</v>
      </c>
      <c r="E7" s="37">
        <f>(C4/B4)*E2</f>
        <v>1.5</v>
      </c>
      <c r="F7" s="39" t="s">
        <v>37</v>
      </c>
      <c r="G7" s="37">
        <f>IF(G10&gt;G11,G10,G11)</f>
        <v>77.11617004408879</v>
      </c>
      <c r="H7" s="37"/>
      <c r="I7" s="37"/>
      <c r="J7" s="39" t="s">
        <v>35</v>
      </c>
      <c r="K7" s="37">
        <f>NORMDIST(G7,C2,C3,TRUE)-NORMDIST(G6,C2,C3,TRUE)</f>
        <v>0.91303272745738284</v>
      </c>
      <c r="L7" s="37">
        <f>IF(G10&gt;G11,(1-K7)*C4,K7*C4)</f>
        <v>45.651636372869142</v>
      </c>
      <c r="M7" s="37">
        <f>C$4-L7</f>
        <v>4.3483636271308583</v>
      </c>
      <c r="N7" s="40">
        <f>O6+P6+O7+P7</f>
        <v>76.16528027926492</v>
      </c>
      <c r="O7" s="37">
        <f>L7*I$4</f>
        <v>91.303272745738283</v>
      </c>
      <c r="P7" s="37">
        <f>M7*H$4</f>
        <v>-4.3483636271308583</v>
      </c>
      <c r="Q7" s="38"/>
    </row>
    <row r="8" spans="1:17" x14ac:dyDescent="0.25">
      <c r="A8" s="37"/>
      <c r="B8" s="41"/>
      <c r="C8" s="41"/>
      <c r="D8" s="41"/>
      <c r="E8" s="37"/>
      <c r="F8" s="39" t="s">
        <v>23</v>
      </c>
      <c r="G8" s="37">
        <f>IF(C3=B3,1,2)</f>
        <v>2</v>
      </c>
      <c r="H8" s="37"/>
      <c r="I8" s="37"/>
      <c r="J8" s="37"/>
      <c r="K8" s="37"/>
      <c r="L8" s="37"/>
      <c r="M8" s="37"/>
      <c r="N8" s="37"/>
      <c r="O8" s="37"/>
      <c r="P8" s="37"/>
      <c r="Q8" s="38"/>
    </row>
    <row r="9" spans="1:17" x14ac:dyDescent="0.25">
      <c r="A9" s="37">
        <v>33.109458651677073</v>
      </c>
      <c r="B9" s="41">
        <f>NORMDIST(A9,B$2,B$3,FALSE)*B7</f>
        <v>0.40392570403437311</v>
      </c>
      <c r="C9" s="41">
        <f>NORMDIST($A9,C$2,C$3,FALSE)*C7</f>
        <v>8.049649928132431E-2</v>
      </c>
      <c r="D9" s="41">
        <f>B9-C9</f>
        <v>0.32342920475304882</v>
      </c>
      <c r="E9" s="37" t="s">
        <v>17</v>
      </c>
      <c r="F9" s="39" t="s">
        <v>38</v>
      </c>
      <c r="G9" s="37" t="e">
        <f>(2*B3*B3*LN((C4/B4)*E2)+B2*B2-C2*C2)/(2*(B2-C2))</f>
        <v>#DIV/0!</v>
      </c>
      <c r="H9" s="42"/>
      <c r="I9" s="42" t="s">
        <v>49</v>
      </c>
      <c r="J9" s="43" t="s">
        <v>34</v>
      </c>
      <c r="K9" s="42"/>
      <c r="L9" s="42">
        <f>IF(E7&gt;1,0,B4)</f>
        <v>0</v>
      </c>
      <c r="M9" s="42"/>
      <c r="N9" s="37"/>
      <c r="O9" s="37"/>
      <c r="P9" s="37"/>
      <c r="Q9" s="38"/>
    </row>
    <row r="10" spans="1:17" x14ac:dyDescent="0.25">
      <c r="A10" s="37"/>
      <c r="B10" s="51" t="s">
        <v>9</v>
      </c>
      <c r="C10" s="51"/>
      <c r="D10" s="51" t="s">
        <v>15</v>
      </c>
      <c r="E10" s="51"/>
      <c r="F10" s="39" t="s">
        <v>26</v>
      </c>
      <c r="G10" s="37">
        <f>(G5-G4)/(B3^2-C3^2)</f>
        <v>42.883829955911203</v>
      </c>
      <c r="H10" s="42"/>
      <c r="I10" s="42">
        <f>IF(B3=C3,IF(B2=C2,IF(E7=1,-1,0),1),IF(G3&lt;0,0,2))</f>
        <v>2</v>
      </c>
      <c r="J10" s="43" t="s">
        <v>35</v>
      </c>
      <c r="K10" s="42"/>
      <c r="L10" s="42">
        <f>IF(E7&gt;1,C4,0)</f>
        <v>50</v>
      </c>
      <c r="M10" s="42"/>
      <c r="N10" s="37"/>
      <c r="O10" s="37"/>
      <c r="P10" s="37"/>
      <c r="Q10" s="38"/>
    </row>
    <row r="11" spans="1:17" x14ac:dyDescent="0.25">
      <c r="A11" s="37" t="s">
        <v>12</v>
      </c>
      <c r="B11" s="37" t="s">
        <v>5</v>
      </c>
      <c r="C11" s="37" t="s">
        <v>6</v>
      </c>
      <c r="D11" s="37" t="s">
        <v>5</v>
      </c>
      <c r="E11" s="37" t="s">
        <v>6</v>
      </c>
      <c r="F11" s="39" t="s">
        <v>27</v>
      </c>
      <c r="G11" s="37">
        <f>(G5+G4)/(B3^2-C3^2)</f>
        <v>77.11617004408879</v>
      </c>
      <c r="H11" s="42"/>
      <c r="I11" s="42" t="str">
        <f>IF(I10=2,"There are two cut points:",IF(I10=1,"There is one cut point:",IF(I10=0,"There is no cut point.",IF(I10=-1,"Classification is arbitrary.",""))))</f>
        <v>There are two cut points:</v>
      </c>
      <c r="J11" s="42"/>
      <c r="K11" s="42"/>
      <c r="L11" s="42">
        <f>IF(I10=2,G6,IF(I10=1,G9,""))</f>
        <v>42.883829955911203</v>
      </c>
      <c r="M11" s="42">
        <f>IF(I10=2,G7,"")</f>
        <v>77.11617004408879</v>
      </c>
      <c r="N11" s="37"/>
      <c r="O11" s="37"/>
      <c r="P11" s="37"/>
      <c r="Q11" s="38"/>
    </row>
    <row r="12" spans="1:17" x14ac:dyDescent="0.25">
      <c r="A12" s="44">
        <f>E5</f>
        <v>0</v>
      </c>
      <c r="B12" s="41">
        <f t="shared" ref="B12:B43" si="0">NORMDIST(A12,B$2,B$3,FALSE)</f>
        <v>2.2159242059690038E-4</v>
      </c>
      <c r="C12" s="41">
        <f>NORMDIST(A12,C$2,C$3,FALSE)</f>
        <v>6.0758828498232861E-10</v>
      </c>
      <c r="D12" s="45">
        <f>B12*B$7</f>
        <v>1.1079621029845018E-2</v>
      </c>
      <c r="E12" s="45">
        <f>C12*C$7</f>
        <v>4.5569121373674644E-8</v>
      </c>
      <c r="F12" s="45">
        <f>(E12-D12)/E12</f>
        <v>-243137.78994923376</v>
      </c>
      <c r="G12" s="37"/>
      <c r="H12" s="42"/>
      <c r="I12" s="42" t="str">
        <f>IF(I10=2,"Classify cases between the cut points as",IF(I10=1,"Classify cases less than the cut point as",IF(I10=0,"Classify all cases as",IF(I10=-1,"Weighted distributions are identical.",""))))</f>
        <v>Classify cases between the cut points as</v>
      </c>
      <c r="J12" s="42"/>
      <c r="K12" s="42"/>
      <c r="L12" s="42"/>
      <c r="M12" s="42" t="str">
        <f>IF(I10=2,IF(G10&gt;G11,"Group 1","Group 2"),IF(I10=1,IF(B2&lt;C2,"Group 1","Group 2"),IF(I10=0,IF(L9&gt;L10,"Group 1","Group 2"),"")))</f>
        <v>Group 2</v>
      </c>
      <c r="N12" s="37"/>
      <c r="O12" s="37"/>
      <c r="P12" s="37"/>
      <c r="Q12" s="38"/>
    </row>
    <row r="13" spans="1:17" x14ac:dyDescent="0.25">
      <c r="A13" s="44">
        <f t="shared" ref="A13:A44" si="1">A12+E$4</f>
        <v>1.2</v>
      </c>
      <c r="B13" s="41">
        <f t="shared" si="0"/>
        <v>2.6481719326555101E-4</v>
      </c>
      <c r="C13" s="41">
        <f t="shared" ref="C13:C62" si="2">NORMDIST(A13,C$2,C$3,FALSE)</f>
        <v>1.2392944314150131E-9</v>
      </c>
      <c r="D13" s="45">
        <f t="shared" ref="D13:E29" si="3">B13*B$7</f>
        <v>1.324085966327755E-2</v>
      </c>
      <c r="E13" s="45">
        <f t="shared" si="3"/>
        <v>9.2947082356125975E-8</v>
      </c>
      <c r="F13" s="45">
        <f t="shared" ref="F13:F76" si="4">(E13-D13)/E13</f>
        <v>-142454.89347867109</v>
      </c>
      <c r="G13" s="37"/>
      <c r="H13" s="42"/>
      <c r="I13" s="42" t="s">
        <v>48</v>
      </c>
      <c r="J13" s="42"/>
      <c r="K13" s="42">
        <f>IF(I$10=2,L6,IF(I$10=1,L3,IF(I$10=0,L9,"")))</f>
        <v>19.605185580328747</v>
      </c>
      <c r="L13" s="42"/>
      <c r="M13" s="42"/>
      <c r="N13" s="37"/>
      <c r="O13" s="37"/>
      <c r="P13" s="37"/>
      <c r="Q13" s="38"/>
    </row>
    <row r="14" spans="1:17" x14ac:dyDescent="0.25">
      <c r="A14" s="44">
        <f t="shared" si="1"/>
        <v>2.4</v>
      </c>
      <c r="B14" s="41">
        <f t="shared" si="0"/>
        <v>3.1533631981329633E-4</v>
      </c>
      <c r="C14" s="41">
        <f t="shared" si="2"/>
        <v>2.4916426972950991E-9</v>
      </c>
      <c r="D14" s="45">
        <f t="shared" si="3"/>
        <v>1.5766815990664818E-2</v>
      </c>
      <c r="E14" s="45">
        <f t="shared" si="3"/>
        <v>1.8687320229713243E-7</v>
      </c>
      <c r="F14" s="45">
        <f t="shared" si="4"/>
        <v>-84370.733329614799</v>
      </c>
      <c r="G14" s="37"/>
      <c r="H14" s="42"/>
      <c r="I14" s="42" t="s">
        <v>47</v>
      </c>
      <c r="J14" s="42"/>
      <c r="K14" s="42">
        <f>IF(I$10=2,L7,IF(I$10=1,L4,IF(I$10=0,L10,"")))</f>
        <v>45.651636372869142</v>
      </c>
      <c r="L14" s="42"/>
      <c r="M14" s="42"/>
      <c r="N14" s="37"/>
      <c r="O14" s="37"/>
      <c r="P14" s="37"/>
      <c r="Q14" s="38"/>
    </row>
    <row r="15" spans="1:17" x14ac:dyDescent="0.25">
      <c r="A15" s="44">
        <f t="shared" si="1"/>
        <v>3.5999999999999996</v>
      </c>
      <c r="B15" s="41">
        <f t="shared" si="0"/>
        <v>3.7414362628902819E-4</v>
      </c>
      <c r="C15" s="41">
        <f t="shared" si="2"/>
        <v>4.9379102271104488E-9</v>
      </c>
      <c r="D15" s="45">
        <f t="shared" si="3"/>
        <v>1.8707181314451409E-2</v>
      </c>
      <c r="E15" s="45">
        <f t="shared" si="3"/>
        <v>3.7034326703328364E-7</v>
      </c>
      <c r="F15" s="45">
        <f t="shared" si="4"/>
        <v>-50512.08604665452</v>
      </c>
      <c r="G15" s="37"/>
      <c r="H15" s="42"/>
      <c r="I15" s="42"/>
      <c r="J15" s="42"/>
      <c r="K15" s="42"/>
      <c r="L15" s="42"/>
      <c r="M15" s="42"/>
      <c r="N15" s="37"/>
      <c r="O15" s="37"/>
      <c r="P15" s="37"/>
      <c r="Q15" s="38"/>
    </row>
    <row r="16" spans="1:17" x14ac:dyDescent="0.25">
      <c r="A16" s="44">
        <f t="shared" si="1"/>
        <v>4.8</v>
      </c>
      <c r="B16" s="41">
        <f t="shared" si="0"/>
        <v>4.423227199118609E-4</v>
      </c>
      <c r="C16" s="41">
        <f t="shared" si="2"/>
        <v>9.6459892842733302E-9</v>
      </c>
      <c r="D16" s="45">
        <f t="shared" si="3"/>
        <v>2.2116135995593044E-2</v>
      </c>
      <c r="E16" s="45">
        <f t="shared" si="3"/>
        <v>7.2344919632049978E-7</v>
      </c>
      <c r="F16" s="45">
        <f t="shared" si="4"/>
        <v>-30569.406475087486</v>
      </c>
      <c r="G16" s="37"/>
      <c r="H16" s="37"/>
      <c r="I16" s="37"/>
      <c r="J16" s="37"/>
      <c r="K16" s="37"/>
      <c r="L16" s="37"/>
      <c r="M16" s="37"/>
      <c r="N16" s="37"/>
      <c r="O16" s="37"/>
      <c r="P16" s="37"/>
      <c r="Q16" s="38"/>
    </row>
    <row r="17" spans="1:17" x14ac:dyDescent="0.25">
      <c r="A17" s="44">
        <f t="shared" si="1"/>
        <v>6</v>
      </c>
      <c r="B17" s="41">
        <f t="shared" si="0"/>
        <v>5.2104674072112956E-4</v>
      </c>
      <c r="C17" s="41">
        <f t="shared" si="2"/>
        <v>1.8573618445552898E-8</v>
      </c>
      <c r="D17" s="45">
        <f t="shared" si="3"/>
        <v>2.6052337036056479E-2</v>
      </c>
      <c r="E17" s="45">
        <f t="shared" si="3"/>
        <v>1.3930213834164673E-6</v>
      </c>
      <c r="F17" s="45">
        <f t="shared" si="4"/>
        <v>-18701.036699653225</v>
      </c>
      <c r="G17" s="37"/>
      <c r="H17" s="37"/>
      <c r="I17" s="37"/>
      <c r="J17" s="37"/>
      <c r="K17" s="37"/>
      <c r="L17" s="37"/>
      <c r="M17" s="37"/>
      <c r="N17" s="37"/>
      <c r="O17" s="37"/>
      <c r="P17" s="37"/>
      <c r="Q17" s="38"/>
    </row>
    <row r="18" spans="1:17" x14ac:dyDescent="0.25">
      <c r="A18" s="44">
        <f t="shared" si="1"/>
        <v>7.2</v>
      </c>
      <c r="B18" s="41">
        <f t="shared" si="0"/>
        <v>6.115763175638994E-4</v>
      </c>
      <c r="C18" s="41">
        <f t="shared" si="2"/>
        <v>3.5252703126140569E-8</v>
      </c>
      <c r="D18" s="45">
        <f t="shared" si="3"/>
        <v>3.057881587819497E-2</v>
      </c>
      <c r="E18" s="45">
        <f t="shared" si="3"/>
        <v>2.6439527344605427E-6</v>
      </c>
      <c r="F18" s="45">
        <f t="shared" si="4"/>
        <v>-11564.568279507879</v>
      </c>
      <c r="G18" s="37"/>
      <c r="H18" s="37"/>
      <c r="I18" s="37"/>
      <c r="J18" s="37"/>
      <c r="K18" s="37"/>
      <c r="L18" s="37"/>
      <c r="M18" s="37"/>
      <c r="N18" s="37"/>
      <c r="O18" s="37"/>
      <c r="P18" s="37"/>
      <c r="Q18" s="38"/>
    </row>
    <row r="19" spans="1:17" x14ac:dyDescent="0.25">
      <c r="A19" s="44">
        <f t="shared" si="1"/>
        <v>8.4</v>
      </c>
      <c r="B19" s="41">
        <f t="shared" si="0"/>
        <v>7.152554497074845E-4</v>
      </c>
      <c r="C19" s="41">
        <f t="shared" si="2"/>
        <v>6.5952989685752165E-8</v>
      </c>
      <c r="D19" s="45">
        <f t="shared" si="3"/>
        <v>3.5762772485374225E-2</v>
      </c>
      <c r="E19" s="45">
        <f t="shared" si="3"/>
        <v>4.946474226431412E-6</v>
      </c>
      <c r="F19" s="45">
        <f t="shared" si="4"/>
        <v>-7228.9522545324053</v>
      </c>
      <c r="G19" s="37"/>
      <c r="H19" s="37"/>
      <c r="I19" s="37"/>
      <c r="J19" s="37"/>
      <c r="K19" s="37"/>
      <c r="L19" s="37"/>
      <c r="M19" s="37"/>
      <c r="N19" s="37"/>
      <c r="O19" s="37"/>
      <c r="P19" s="37"/>
      <c r="Q19" s="38"/>
    </row>
    <row r="20" spans="1:17" x14ac:dyDescent="0.25">
      <c r="A20" s="44">
        <f t="shared" si="1"/>
        <v>9.6</v>
      </c>
      <c r="B20" s="41">
        <f t="shared" si="0"/>
        <v>8.3350504186905272E-4</v>
      </c>
      <c r="C20" s="41">
        <f t="shared" si="2"/>
        <v>1.216249598931318E-7</v>
      </c>
      <c r="D20" s="45">
        <f t="shared" si="3"/>
        <v>4.1675252093452637E-2</v>
      </c>
      <c r="E20" s="45">
        <f t="shared" si="3"/>
        <v>9.1218719919848846E-6</v>
      </c>
      <c r="F20" s="45">
        <f t="shared" si="4"/>
        <v>-4567.7170495345072</v>
      </c>
      <c r="G20" s="37"/>
      <c r="H20" s="37"/>
      <c r="I20" s="37"/>
      <c r="J20" s="37"/>
      <c r="K20" s="37"/>
      <c r="L20" s="37"/>
      <c r="M20" s="37"/>
      <c r="N20" s="37"/>
      <c r="O20" s="37"/>
      <c r="P20" s="37"/>
      <c r="Q20" s="38"/>
    </row>
    <row r="21" spans="1:17" x14ac:dyDescent="0.25">
      <c r="A21" s="44">
        <f t="shared" si="1"/>
        <v>10.799999999999999</v>
      </c>
      <c r="B21" s="41">
        <f t="shared" si="0"/>
        <v>9.6781383658684807E-4</v>
      </c>
      <c r="C21" s="41">
        <f t="shared" si="2"/>
        <v>2.2108388745684209E-7</v>
      </c>
      <c r="D21" s="45">
        <f t="shared" si="3"/>
        <v>4.83906918293424E-2</v>
      </c>
      <c r="E21" s="45">
        <f t="shared" si="3"/>
        <v>1.6581291559263158E-5</v>
      </c>
      <c r="F21" s="45">
        <f t="shared" si="4"/>
        <v>-2917.3909863950785</v>
      </c>
      <c r="G21" s="37"/>
      <c r="H21" s="37"/>
      <c r="I21" s="37"/>
      <c r="J21" s="37"/>
      <c r="K21" s="37"/>
      <c r="L21" s="37"/>
      <c r="M21" s="37"/>
      <c r="N21" s="37"/>
      <c r="O21" s="37"/>
      <c r="P21" s="37"/>
      <c r="Q21" s="38"/>
    </row>
    <row r="22" spans="1:17" x14ac:dyDescent="0.25">
      <c r="A22" s="44">
        <f t="shared" si="1"/>
        <v>11.999999999999998</v>
      </c>
      <c r="B22" s="41">
        <f t="shared" si="0"/>
        <v>1.1197265147421451E-3</v>
      </c>
      <c r="C22" s="41">
        <f t="shared" si="2"/>
        <v>3.9612990910320755E-7</v>
      </c>
      <c r="D22" s="45">
        <f t="shared" si="3"/>
        <v>5.5986325737107254E-2</v>
      </c>
      <c r="E22" s="45">
        <f t="shared" si="3"/>
        <v>2.9709743182740567E-5</v>
      </c>
      <c r="F22" s="45">
        <f t="shared" si="4"/>
        <v>-1883.4432748120043</v>
      </c>
      <c r="G22" s="37"/>
      <c r="H22" s="37"/>
      <c r="I22" s="37"/>
      <c r="J22" s="37"/>
      <c r="K22" s="37"/>
      <c r="L22" s="37"/>
      <c r="M22" s="37"/>
      <c r="N22" s="37"/>
      <c r="O22" s="37"/>
      <c r="P22" s="37"/>
      <c r="Q22" s="38"/>
    </row>
    <row r="23" spans="1:17" x14ac:dyDescent="0.25">
      <c r="A23" s="44">
        <f t="shared" si="1"/>
        <v>13.199999999999998</v>
      </c>
      <c r="B23" s="41">
        <f t="shared" si="0"/>
        <v>1.2908287735793828E-3</v>
      </c>
      <c r="C23" s="41">
        <f t="shared" si="2"/>
        <v>6.9962341432703673E-7</v>
      </c>
      <c r="D23" s="45">
        <f t="shared" si="3"/>
        <v>6.4541438678969137E-2</v>
      </c>
      <c r="E23" s="45">
        <f t="shared" si="3"/>
        <v>5.2471756074527753E-5</v>
      </c>
      <c r="F23" s="45">
        <f t="shared" si="4"/>
        <v>-1229.0224636526043</v>
      </c>
      <c r="G23" s="37"/>
      <c r="H23" s="37"/>
      <c r="I23" s="37"/>
      <c r="J23" s="37"/>
      <c r="K23" s="37"/>
      <c r="L23" s="37"/>
      <c r="M23" s="37"/>
      <c r="N23" s="37"/>
      <c r="O23" s="37"/>
      <c r="P23" s="37"/>
      <c r="Q23" s="38"/>
    </row>
    <row r="24" spans="1:17" x14ac:dyDescent="0.25">
      <c r="A24" s="44">
        <f t="shared" si="1"/>
        <v>14.399999999999997</v>
      </c>
      <c r="B24" s="41">
        <f t="shared" si="0"/>
        <v>1.4827292423670625E-3</v>
      </c>
      <c r="C24" s="41">
        <f t="shared" si="2"/>
        <v>1.2179716970268655E-6</v>
      </c>
      <c r="D24" s="45">
        <f t="shared" si="3"/>
        <v>7.4136462118353119E-2</v>
      </c>
      <c r="E24" s="45">
        <f t="shared" si="3"/>
        <v>9.1347877277014912E-5</v>
      </c>
      <c r="F24" s="45">
        <f t="shared" si="4"/>
        <v>-810.58385206404182</v>
      </c>
      <c r="G24" s="37"/>
      <c r="H24" s="37"/>
      <c r="I24" s="37"/>
      <c r="J24" s="37"/>
      <c r="K24" s="37"/>
      <c r="L24" s="37"/>
      <c r="M24" s="37"/>
      <c r="N24" s="37"/>
      <c r="O24" s="37"/>
      <c r="P24" s="37"/>
      <c r="Q24" s="38"/>
    </row>
    <row r="25" spans="1:17" x14ac:dyDescent="0.25">
      <c r="A25" s="44">
        <f t="shared" si="1"/>
        <v>15.599999999999996</v>
      </c>
      <c r="B25" s="41">
        <f t="shared" si="0"/>
        <v>1.6970381591224592E-3</v>
      </c>
      <c r="C25" s="41">
        <f t="shared" si="2"/>
        <v>2.0900477900450408E-6</v>
      </c>
      <c r="D25" s="45">
        <f t="shared" si="3"/>
        <v>8.4851907956122963E-2</v>
      </c>
      <c r="E25" s="45">
        <f t="shared" si="3"/>
        <v>1.5675358425337805E-4</v>
      </c>
      <c r="F25" s="45">
        <f t="shared" si="4"/>
        <v>-540.30760939391018</v>
      </c>
      <c r="G25" s="37"/>
      <c r="H25" s="37"/>
      <c r="I25" s="37"/>
      <c r="J25" s="37"/>
      <c r="K25" s="37"/>
      <c r="L25" s="37"/>
      <c r="M25" s="37"/>
      <c r="N25" s="37"/>
      <c r="O25" s="37"/>
      <c r="P25" s="37"/>
      <c r="Q25" s="38"/>
    </row>
    <row r="26" spans="1:17" x14ac:dyDescent="0.25">
      <c r="A26" s="44">
        <f t="shared" si="1"/>
        <v>16.799999999999997</v>
      </c>
      <c r="B26" s="41">
        <f t="shared" si="0"/>
        <v>1.9353428073727802E-3</v>
      </c>
      <c r="C26" s="41">
        <f t="shared" si="2"/>
        <v>3.5352603001773097E-6</v>
      </c>
      <c r="D26" s="45">
        <f t="shared" si="3"/>
        <v>9.676714036863901E-2</v>
      </c>
      <c r="E26" s="45">
        <f t="shared" si="3"/>
        <v>2.6514452251329823E-4</v>
      </c>
      <c r="F26" s="45">
        <f t="shared" si="4"/>
        <v>-363.95998277236026</v>
      </c>
      <c r="G26" s="37"/>
      <c r="H26" s="37"/>
      <c r="I26" s="37"/>
      <c r="J26" s="37"/>
      <c r="K26" s="37"/>
      <c r="L26" s="37"/>
      <c r="M26" s="37"/>
      <c r="N26" s="37"/>
      <c r="O26" s="37"/>
      <c r="P26" s="37"/>
      <c r="Q26" s="38"/>
    </row>
    <row r="27" spans="1:17" x14ac:dyDescent="0.25">
      <c r="A27" s="44">
        <f t="shared" si="1"/>
        <v>17.999999999999996</v>
      </c>
      <c r="B27" s="41">
        <f t="shared" si="0"/>
        <v>2.1991797990213598E-3</v>
      </c>
      <c r="C27" s="41">
        <f t="shared" si="2"/>
        <v>5.8943067756539858E-6</v>
      </c>
      <c r="D27" s="45">
        <f t="shared" si="3"/>
        <v>0.109958989951068</v>
      </c>
      <c r="E27" s="45">
        <f t="shared" si="3"/>
        <v>4.4207300817404892E-4</v>
      </c>
      <c r="F27" s="45">
        <f t="shared" si="4"/>
        <v>-247.73491011189708</v>
      </c>
      <c r="G27" s="37"/>
      <c r="H27" s="37"/>
      <c r="I27" s="37"/>
      <c r="J27" s="37"/>
      <c r="K27" s="37"/>
      <c r="L27" s="37"/>
      <c r="M27" s="37"/>
      <c r="N27" s="37"/>
      <c r="O27" s="37"/>
      <c r="P27" s="37"/>
      <c r="Q27" s="38"/>
    </row>
    <row r="28" spans="1:17" x14ac:dyDescent="0.25">
      <c r="A28" s="44">
        <f t="shared" si="1"/>
        <v>19.199999999999996</v>
      </c>
      <c r="B28" s="41">
        <f t="shared" si="0"/>
        <v>2.4900043867535386E-3</v>
      </c>
      <c r="C28" s="41">
        <f t="shared" si="2"/>
        <v>9.687020839871926E-6</v>
      </c>
      <c r="D28" s="45">
        <f t="shared" si="3"/>
        <v>0.12450021933767692</v>
      </c>
      <c r="E28" s="45">
        <f t="shared" si="3"/>
        <v>7.2652656299039445E-4</v>
      </c>
      <c r="F28" s="45">
        <f t="shared" si="4"/>
        <v>-170.36361652797953</v>
      </c>
      <c r="G28" s="37"/>
      <c r="H28" s="37"/>
      <c r="I28" s="37"/>
      <c r="J28" s="37"/>
      <c r="K28" s="37"/>
      <c r="L28" s="37"/>
      <c r="M28" s="37"/>
      <c r="N28" s="37"/>
      <c r="O28" s="37"/>
      <c r="P28" s="37"/>
      <c r="Q28" s="38"/>
    </row>
    <row r="29" spans="1:17" x14ac:dyDescent="0.25">
      <c r="A29" s="44">
        <f t="shared" si="1"/>
        <v>20.399999999999995</v>
      </c>
      <c r="B29" s="41">
        <f t="shared" si="0"/>
        <v>2.8091570951933997E-3</v>
      </c>
      <c r="C29" s="41">
        <f t="shared" si="2"/>
        <v>1.569256340655317E-5</v>
      </c>
      <c r="D29" s="45">
        <f t="shared" si="3"/>
        <v>0.14045785475966999</v>
      </c>
      <c r="E29" s="45">
        <f t="shared" si="3"/>
        <v>1.1769422554914878E-3</v>
      </c>
      <c r="F29" s="45">
        <f t="shared" si="4"/>
        <v>-118.34133055747513</v>
      </c>
      <c r="G29" s="37"/>
      <c r="H29" s="37"/>
      <c r="I29" s="37"/>
      <c r="J29" s="37"/>
      <c r="K29" s="37"/>
      <c r="L29" s="37"/>
      <c r="M29" s="37"/>
      <c r="N29" s="37"/>
      <c r="O29" s="37"/>
      <c r="P29" s="37"/>
      <c r="Q29" s="38"/>
    </row>
    <row r="30" spans="1:17" x14ac:dyDescent="0.25">
      <c r="A30" s="44">
        <f t="shared" si="1"/>
        <v>21.599999999999994</v>
      </c>
      <c r="B30" s="41">
        <f t="shared" si="0"/>
        <v>3.1578280717599306E-3</v>
      </c>
      <c r="C30" s="41">
        <f t="shared" si="2"/>
        <v>2.5057844489086012E-5</v>
      </c>
      <c r="D30" s="45">
        <f t="shared" ref="D30:D61" si="5">B30*B$7</f>
        <v>0.15789140358799653</v>
      </c>
      <c r="E30" s="45">
        <f t="shared" ref="E30:E61" si="6">C30*C$7</f>
        <v>1.8793383366814509E-3</v>
      </c>
      <c r="F30" s="45">
        <f t="shared" si="4"/>
        <v>-83.014357875975819</v>
      </c>
      <c r="G30" s="37"/>
      <c r="H30" s="37"/>
      <c r="I30" s="37"/>
      <c r="J30" s="37"/>
      <c r="K30" s="37"/>
      <c r="L30" s="37"/>
      <c r="M30" s="37"/>
      <c r="N30" s="37"/>
      <c r="O30" s="37"/>
      <c r="P30" s="37"/>
      <c r="Q30" s="38"/>
    </row>
    <row r="31" spans="1:17" x14ac:dyDescent="0.25">
      <c r="A31" s="44">
        <f t="shared" si="1"/>
        <v>22.799999999999994</v>
      </c>
      <c r="B31" s="41">
        <f t="shared" si="0"/>
        <v>3.5370196728491689E-3</v>
      </c>
      <c r="C31" s="41">
        <f t="shared" si="2"/>
        <v>3.9440252496915624E-5</v>
      </c>
      <c r="D31" s="45">
        <f t="shared" si="5"/>
        <v>0.17685098364245844</v>
      </c>
      <c r="E31" s="45">
        <f t="shared" si="6"/>
        <v>2.9580189372686717E-3</v>
      </c>
      <c r="F31" s="45">
        <f t="shared" si="4"/>
        <v>-58.786968032651032</v>
      </c>
      <c r="G31" s="37"/>
      <c r="H31" s="37"/>
      <c r="I31" s="37"/>
      <c r="J31" s="37"/>
      <c r="K31" s="37"/>
      <c r="L31" s="37"/>
      <c r="M31" s="37"/>
      <c r="N31" s="37"/>
      <c r="O31" s="37"/>
      <c r="P31" s="37"/>
      <c r="Q31" s="38"/>
    </row>
    <row r="32" spans="1:17" x14ac:dyDescent="0.25">
      <c r="A32" s="44">
        <f t="shared" si="1"/>
        <v>23.999999999999993</v>
      </c>
      <c r="B32" s="41">
        <f t="shared" si="0"/>
        <v>3.9475079150447061E-3</v>
      </c>
      <c r="C32" s="41">
        <f t="shared" si="2"/>
        <v>6.1190193011377079E-5</v>
      </c>
      <c r="D32" s="45">
        <f t="shared" si="5"/>
        <v>0.19737539575223531</v>
      </c>
      <c r="E32" s="45">
        <f t="shared" si="6"/>
        <v>4.5892644758532813E-3</v>
      </c>
      <c r="F32" s="45">
        <f t="shared" si="4"/>
        <v>-42.008067369126145</v>
      </c>
      <c r="G32" s="37"/>
      <c r="H32" s="37"/>
      <c r="I32" s="37"/>
      <c r="J32" s="37"/>
      <c r="K32" s="37"/>
      <c r="L32" s="37"/>
      <c r="M32" s="37"/>
      <c r="N32" s="37"/>
      <c r="O32" s="37"/>
      <c r="P32" s="37"/>
      <c r="Q32" s="38"/>
    </row>
    <row r="33" spans="1:17" x14ac:dyDescent="0.25">
      <c r="A33" s="44">
        <f t="shared" si="1"/>
        <v>25.199999999999992</v>
      </c>
      <c r="B33" s="41">
        <f t="shared" si="0"/>
        <v>4.3898035305452764E-3</v>
      </c>
      <c r="C33" s="41">
        <f t="shared" si="2"/>
        <v>9.357721569274756E-5</v>
      </c>
      <c r="D33" s="45">
        <f t="shared" si="5"/>
        <v>0.21949017652726382</v>
      </c>
      <c r="E33" s="45">
        <f t="shared" si="6"/>
        <v>7.0182911769560673E-3</v>
      </c>
      <c r="F33" s="45">
        <f t="shared" si="4"/>
        <v>-30.27401969982953</v>
      </c>
      <c r="G33" s="37"/>
      <c r="H33" s="37"/>
      <c r="I33" s="37"/>
      <c r="J33" s="37"/>
      <c r="K33" s="37"/>
      <c r="L33" s="37"/>
      <c r="M33" s="37"/>
      <c r="N33" s="37"/>
      <c r="O33" s="37"/>
      <c r="P33" s="37"/>
      <c r="Q33" s="38"/>
    </row>
    <row r="34" spans="1:17" x14ac:dyDescent="0.25">
      <c r="A34" s="44">
        <f t="shared" si="1"/>
        <v>26.399999999999991</v>
      </c>
      <c r="B34" s="41">
        <f t="shared" si="0"/>
        <v>4.8641134665733717E-3</v>
      </c>
      <c r="C34" s="41">
        <f t="shared" si="2"/>
        <v>1.41060225694138E-4</v>
      </c>
      <c r="D34" s="45">
        <f t="shared" si="5"/>
        <v>0.24320567332866858</v>
      </c>
      <c r="E34" s="45">
        <f t="shared" si="6"/>
        <v>1.0579516927060349E-2</v>
      </c>
      <c r="F34" s="45">
        <f t="shared" si="4"/>
        <v>-21.988353344054463</v>
      </c>
      <c r="G34" s="37"/>
      <c r="H34" s="37"/>
      <c r="I34" s="37"/>
      <c r="J34" s="37"/>
      <c r="K34" s="37"/>
      <c r="L34" s="37"/>
      <c r="M34" s="37"/>
      <c r="N34" s="37"/>
      <c r="O34" s="37"/>
      <c r="P34" s="37"/>
      <c r="Q34" s="38"/>
    </row>
    <row r="35" spans="1:17" x14ac:dyDescent="0.25">
      <c r="A35" s="44">
        <f t="shared" si="1"/>
        <v>27.599999999999991</v>
      </c>
      <c r="B35" s="41">
        <f t="shared" si="0"/>
        <v>5.3703037556741889E-3</v>
      </c>
      <c r="C35" s="41">
        <f t="shared" si="2"/>
        <v>2.0959706128579399E-4</v>
      </c>
      <c r="D35" s="45">
        <f t="shared" si="5"/>
        <v>0.26851518778370942</v>
      </c>
      <c r="E35" s="45">
        <f t="shared" si="6"/>
        <v>1.5719779596434551E-2</v>
      </c>
      <c r="F35" s="45">
        <f t="shared" si="4"/>
        <v>-16.081358306360233</v>
      </c>
      <c r="G35" s="37"/>
      <c r="H35" s="37"/>
      <c r="I35" s="37"/>
      <c r="J35" s="37"/>
      <c r="K35" s="37"/>
      <c r="L35" s="37"/>
      <c r="M35" s="37"/>
      <c r="N35" s="37"/>
      <c r="O35" s="37"/>
      <c r="P35" s="37"/>
      <c r="Q35" s="38"/>
    </row>
    <row r="36" spans="1:17" x14ac:dyDescent="0.25">
      <c r="A36" s="44">
        <f t="shared" si="1"/>
        <v>28.79999999999999</v>
      </c>
      <c r="B36" s="41">
        <f t="shared" si="0"/>
        <v>5.9078647529791101E-3</v>
      </c>
      <c r="C36" s="41">
        <f t="shared" si="2"/>
        <v>3.0698133011047325E-4</v>
      </c>
      <c r="D36" s="45">
        <f t="shared" si="5"/>
        <v>0.29539323764895553</v>
      </c>
      <c r="E36" s="45">
        <f t="shared" si="6"/>
        <v>2.3023599758285496E-2</v>
      </c>
      <c r="F36" s="45">
        <f t="shared" si="4"/>
        <v>-11.83001966461185</v>
      </c>
      <c r="G36" s="37"/>
      <c r="H36" s="37"/>
      <c r="I36" s="37"/>
      <c r="J36" s="37"/>
      <c r="K36" s="37"/>
      <c r="L36" s="37"/>
      <c r="M36" s="37"/>
      <c r="N36" s="37"/>
      <c r="O36" s="37"/>
      <c r="P36" s="37"/>
      <c r="Q36" s="38"/>
    </row>
    <row r="37" spans="1:17" x14ac:dyDescent="0.25">
      <c r="A37" s="44">
        <f t="shared" si="1"/>
        <v>29.999999999999989</v>
      </c>
      <c r="B37" s="41">
        <f t="shared" si="0"/>
        <v>6.4758797832945823E-3</v>
      </c>
      <c r="C37" s="41">
        <f t="shared" si="2"/>
        <v>4.4318484119379957E-4</v>
      </c>
      <c r="D37" s="45">
        <f t="shared" si="5"/>
        <v>0.32379398916472912</v>
      </c>
      <c r="E37" s="45">
        <f t="shared" si="6"/>
        <v>3.323886308953497E-2</v>
      </c>
      <c r="F37" s="45">
        <f t="shared" si="4"/>
        <v>-8.7414279270783322</v>
      </c>
      <c r="G37" s="37"/>
      <c r="H37" s="37"/>
      <c r="I37" s="37"/>
      <c r="J37" s="37"/>
      <c r="K37" s="37"/>
      <c r="L37" s="37"/>
      <c r="M37" s="37"/>
      <c r="N37" s="37"/>
      <c r="O37" s="37"/>
      <c r="P37" s="37"/>
      <c r="Q37" s="38"/>
    </row>
    <row r="38" spans="1:17" x14ac:dyDescent="0.25">
      <c r="A38" s="44">
        <f t="shared" si="1"/>
        <v>31.199999999999989</v>
      </c>
      <c r="B38" s="41">
        <f t="shared" si="0"/>
        <v>7.0729982612419339E-3</v>
      </c>
      <c r="C38" s="41">
        <f t="shared" si="2"/>
        <v>6.306726396265905E-4</v>
      </c>
      <c r="D38" s="45">
        <f t="shared" si="5"/>
        <v>0.3536499130620967</v>
      </c>
      <c r="E38" s="45">
        <f t="shared" si="6"/>
        <v>4.7300447971994286E-2</v>
      </c>
      <c r="F38" s="45">
        <f t="shared" si="4"/>
        <v>-6.4766715374764789</v>
      </c>
      <c r="G38" s="37"/>
      <c r="H38" s="37"/>
      <c r="I38" s="37"/>
      <c r="J38" s="37"/>
      <c r="K38" s="37"/>
      <c r="L38" s="37"/>
      <c r="M38" s="37"/>
      <c r="N38" s="37"/>
      <c r="O38" s="37"/>
      <c r="P38" s="37"/>
      <c r="Q38" s="38"/>
    </row>
    <row r="39" spans="1:17" x14ac:dyDescent="0.25">
      <c r="A39" s="44">
        <f t="shared" si="1"/>
        <v>32.399999999999991</v>
      </c>
      <c r="B39" s="41">
        <f t="shared" si="0"/>
        <v>7.6974143381316803E-3</v>
      </c>
      <c r="C39" s="41">
        <f t="shared" si="2"/>
        <v>8.8464543982372083E-4</v>
      </c>
      <c r="D39" s="45">
        <f t="shared" si="5"/>
        <v>0.38487071690658403</v>
      </c>
      <c r="E39" s="45">
        <f t="shared" si="6"/>
        <v>6.6348407986779059E-2</v>
      </c>
      <c r="F39" s="45">
        <f t="shared" si="4"/>
        <v>-4.8007528527779515</v>
      </c>
      <c r="G39" s="37"/>
      <c r="H39" s="37"/>
      <c r="I39" s="37"/>
      <c r="J39" s="37"/>
      <c r="K39" s="37"/>
      <c r="L39" s="37"/>
      <c r="M39" s="37"/>
      <c r="N39" s="37"/>
      <c r="O39" s="37"/>
      <c r="P39" s="37"/>
      <c r="Q39" s="38"/>
    </row>
    <row r="40" spans="1:17" x14ac:dyDescent="0.25">
      <c r="A40" s="44">
        <f t="shared" si="1"/>
        <v>33.599999999999994</v>
      </c>
      <c r="B40" s="41">
        <f t="shared" si="0"/>
        <v>8.3468520870856877E-3</v>
      </c>
      <c r="C40" s="41">
        <f t="shared" si="2"/>
        <v>1.2231526351277955E-3</v>
      </c>
      <c r="D40" s="45">
        <f t="shared" si="5"/>
        <v>0.41734260435428439</v>
      </c>
      <c r="E40" s="45">
        <f t="shared" si="6"/>
        <v>9.1736447634584661E-2</v>
      </c>
      <c r="F40" s="45">
        <f t="shared" si="4"/>
        <v>-3.5493652208628377</v>
      </c>
      <c r="G40" s="37"/>
      <c r="H40" s="37"/>
      <c r="I40" s="37"/>
      <c r="J40" s="37"/>
      <c r="K40" s="37"/>
      <c r="L40" s="37"/>
      <c r="M40" s="37"/>
      <c r="N40" s="37"/>
      <c r="O40" s="37"/>
      <c r="P40" s="37"/>
      <c r="Q40" s="38"/>
    </row>
    <row r="41" spans="1:17" x14ac:dyDescent="0.25">
      <c r="A41" s="44">
        <f t="shared" si="1"/>
        <v>34.799999999999997</v>
      </c>
      <c r="B41" s="41">
        <f t="shared" si="0"/>
        <v>9.0185581613540129E-3</v>
      </c>
      <c r="C41" s="41">
        <f t="shared" si="2"/>
        <v>1.6670100837381041E-3</v>
      </c>
      <c r="D41" s="45">
        <f t="shared" si="5"/>
        <v>0.45092790806770067</v>
      </c>
      <c r="E41" s="45">
        <f t="shared" si="6"/>
        <v>0.12502575628035781</v>
      </c>
      <c r="F41" s="45">
        <f t="shared" si="4"/>
        <v>-2.6066801072295833</v>
      </c>
      <c r="G41" s="37"/>
      <c r="H41" s="37"/>
      <c r="I41" s="37"/>
      <c r="J41" s="37"/>
      <c r="K41" s="37"/>
      <c r="L41" s="37"/>
      <c r="M41" s="37"/>
      <c r="N41" s="37"/>
      <c r="O41" s="37"/>
      <c r="P41" s="37"/>
      <c r="Q41" s="38"/>
    </row>
    <row r="42" spans="1:17" x14ac:dyDescent="0.25">
      <c r="A42" s="44">
        <f t="shared" si="1"/>
        <v>36</v>
      </c>
      <c r="B42" s="41">
        <f t="shared" si="0"/>
        <v>9.709302749160648E-3</v>
      </c>
      <c r="C42" s="41">
        <f t="shared" si="2"/>
        <v>2.2394530294842902E-3</v>
      </c>
      <c r="D42" s="45">
        <f t="shared" si="5"/>
        <v>0.48546513745803238</v>
      </c>
      <c r="E42" s="45">
        <f t="shared" si="6"/>
        <v>0.16795897721132177</v>
      </c>
      <c r="F42" s="45">
        <f t="shared" si="4"/>
        <v>-1.8903792194878177</v>
      </c>
      <c r="G42" s="37"/>
      <c r="H42" s="37"/>
      <c r="I42" s="37"/>
      <c r="J42" s="37"/>
      <c r="K42" s="37"/>
      <c r="L42" s="37"/>
      <c r="M42" s="37"/>
      <c r="N42" s="37"/>
      <c r="O42" s="37"/>
      <c r="P42" s="37"/>
      <c r="Q42" s="38"/>
    </row>
    <row r="43" spans="1:17" x14ac:dyDescent="0.25">
      <c r="A43" s="44">
        <f t="shared" si="1"/>
        <v>37.200000000000003</v>
      </c>
      <c r="B43" s="41">
        <f t="shared" si="0"/>
        <v>1.0415389502355417E-2</v>
      </c>
      <c r="C43" s="41">
        <f t="shared" si="2"/>
        <v>2.9654584847341276E-3</v>
      </c>
      <c r="D43" s="45">
        <f t="shared" si="5"/>
        <v>0.52076947511777083</v>
      </c>
      <c r="E43" s="45">
        <f t="shared" si="6"/>
        <v>0.22240938635505958</v>
      </c>
      <c r="F43" s="45">
        <f t="shared" si="4"/>
        <v>-1.3414905443172358</v>
      </c>
      <c r="G43" s="37"/>
      <c r="H43" s="37"/>
      <c r="I43" s="37"/>
      <c r="J43" s="37"/>
      <c r="K43" s="37"/>
      <c r="L43" s="37"/>
      <c r="M43" s="37"/>
      <c r="N43" s="37"/>
      <c r="O43" s="37"/>
      <c r="P43" s="37"/>
      <c r="Q43" s="38"/>
    </row>
    <row r="44" spans="1:17" x14ac:dyDescent="0.25">
      <c r="A44" s="44">
        <f t="shared" si="1"/>
        <v>38.400000000000006</v>
      </c>
      <c r="B44" s="41">
        <f t="shared" ref="B44:B62" si="7">NORMDIST(A44,B$2,B$3,FALSE)</f>
        <v>1.1132674937588061E-2</v>
      </c>
      <c r="C44" s="41">
        <f t="shared" si="2"/>
        <v>3.8706856147455683E-3</v>
      </c>
      <c r="D44" s="45">
        <f t="shared" si="5"/>
        <v>0.55663374687940304</v>
      </c>
      <c r="E44" s="45">
        <f t="shared" si="6"/>
        <v>0.29030142110591761</v>
      </c>
      <c r="F44" s="45">
        <f t="shared" si="4"/>
        <v>-0.91743376508071939</v>
      </c>
      <c r="G44" s="37"/>
      <c r="H44" s="37"/>
      <c r="I44" s="37"/>
      <c r="J44" s="37"/>
      <c r="K44" s="37"/>
      <c r="L44" s="37"/>
      <c r="M44" s="37"/>
      <c r="N44" s="37"/>
      <c r="O44" s="37"/>
      <c r="P44" s="37"/>
      <c r="Q44" s="38"/>
    </row>
    <row r="45" spans="1:17" x14ac:dyDescent="0.25">
      <c r="A45" s="44">
        <f t="shared" ref="A45:A62" si="8">A44+E$4</f>
        <v>39.600000000000009</v>
      </c>
      <c r="B45" s="41">
        <f t="shared" si="7"/>
        <v>1.1856597600968985E-2</v>
      </c>
      <c r="C45" s="41">
        <f t="shared" si="2"/>
        <v>4.9800087735070867E-3</v>
      </c>
      <c r="D45" s="45">
        <f t="shared" si="5"/>
        <v>0.59282988004844928</v>
      </c>
      <c r="E45" s="45">
        <f t="shared" si="6"/>
        <v>0.37350065801303151</v>
      </c>
      <c r="F45" s="45">
        <f t="shared" si="4"/>
        <v>-0.58722579821469911</v>
      </c>
      <c r="G45" s="37"/>
      <c r="H45" s="37"/>
      <c r="I45" s="37"/>
      <c r="J45" s="37"/>
      <c r="K45" s="37"/>
      <c r="L45" s="37"/>
      <c r="M45" s="37"/>
      <c r="N45" s="37"/>
      <c r="O45" s="37"/>
      <c r="P45" s="37"/>
      <c r="Q45" s="38"/>
    </row>
    <row r="46" spans="1:17" x14ac:dyDescent="0.25">
      <c r="A46" s="44">
        <f t="shared" si="8"/>
        <v>40.800000000000011</v>
      </c>
      <c r="B46" s="41">
        <f t="shared" si="7"/>
        <v>1.2582217054905864E-2</v>
      </c>
      <c r="C46" s="41">
        <f t="shared" si="2"/>
        <v>6.3156561435198776E-3</v>
      </c>
      <c r="D46" s="45">
        <f t="shared" si="5"/>
        <v>0.62911085274529321</v>
      </c>
      <c r="E46" s="45">
        <f t="shared" si="6"/>
        <v>0.4736742107639908</v>
      </c>
      <c r="F46" s="45">
        <f t="shared" si="4"/>
        <v>-0.32815094942702944</v>
      </c>
      <c r="G46" s="37"/>
      <c r="H46" s="37"/>
      <c r="I46" s="37"/>
      <c r="J46" s="37"/>
      <c r="K46" s="37"/>
      <c r="L46" s="37"/>
      <c r="M46" s="37"/>
      <c r="N46" s="37"/>
      <c r="O46" s="37"/>
      <c r="P46" s="37"/>
      <c r="Q46" s="38"/>
    </row>
    <row r="47" spans="1:17" x14ac:dyDescent="0.25">
      <c r="A47" s="44">
        <f t="shared" si="8"/>
        <v>42.000000000000014</v>
      </c>
      <c r="B47" s="41">
        <f t="shared" si="7"/>
        <v>1.3304262494937749E-2</v>
      </c>
      <c r="C47" s="41">
        <f t="shared" si="2"/>
        <v>7.8950158300894382E-3</v>
      </c>
      <c r="D47" s="45">
        <f t="shared" si="5"/>
        <v>0.66521312474688743</v>
      </c>
      <c r="E47" s="45">
        <f t="shared" si="6"/>
        <v>0.59212618725670785</v>
      </c>
      <c r="F47" s="45">
        <f t="shared" si="4"/>
        <v>-0.12343135477386645</v>
      </c>
      <c r="G47" s="37"/>
      <c r="H47" s="37"/>
      <c r="I47" s="37"/>
      <c r="J47" s="37"/>
      <c r="K47" s="37"/>
      <c r="L47" s="37"/>
      <c r="M47" s="37"/>
      <c r="N47" s="37"/>
      <c r="O47" s="37"/>
      <c r="P47" s="37"/>
      <c r="Q47" s="38"/>
    </row>
    <row r="48" spans="1:17" x14ac:dyDescent="0.25">
      <c r="A48" s="44">
        <f t="shared" si="8"/>
        <v>43.200000000000017</v>
      </c>
      <c r="B48" s="41">
        <f t="shared" si="7"/>
        <v>1.4017190541981039E-2</v>
      </c>
      <c r="C48" s="41">
        <f t="shared" si="2"/>
        <v>9.7282269331467764E-3</v>
      </c>
      <c r="D48" s="45">
        <f t="shared" si="5"/>
        <v>0.70085952709905197</v>
      </c>
      <c r="E48" s="45">
        <f t="shared" si="6"/>
        <v>0.72961701998600825</v>
      </c>
      <c r="F48" s="45">
        <f t="shared" si="4"/>
        <v>3.941450390988379E-2</v>
      </c>
      <c r="G48" s="37"/>
      <c r="H48" s="37"/>
      <c r="I48" s="37"/>
      <c r="J48" s="37"/>
      <c r="K48" s="37"/>
      <c r="L48" s="37"/>
      <c r="M48" s="37"/>
      <c r="N48" s="37"/>
      <c r="O48" s="37"/>
      <c r="P48" s="37"/>
      <c r="Q48" s="38"/>
    </row>
    <row r="49" spans="1:17" x14ac:dyDescent="0.25">
      <c r="A49" s="44">
        <f t="shared" si="8"/>
        <v>44.40000000000002</v>
      </c>
      <c r="B49" s="41">
        <f t="shared" si="7"/>
        <v>1.4715251489416268E-2</v>
      </c>
      <c r="C49" s="41">
        <f t="shared" si="2"/>
        <v>1.1815729505958264E-2</v>
      </c>
      <c r="D49" s="45">
        <f t="shared" si="5"/>
        <v>0.73576257447081339</v>
      </c>
      <c r="E49" s="45">
        <f t="shared" si="6"/>
        <v>0.88617971294686981</v>
      </c>
      <c r="F49" s="45">
        <f t="shared" si="4"/>
        <v>0.16973660791202808</v>
      </c>
      <c r="G49" s="37"/>
      <c r="H49" s="37"/>
      <c r="I49" s="37"/>
      <c r="J49" s="37"/>
      <c r="K49" s="37"/>
      <c r="L49" s="37"/>
      <c r="M49" s="37"/>
      <c r="N49" s="37"/>
      <c r="O49" s="37"/>
      <c r="P49" s="37"/>
      <c r="Q49" s="38"/>
    </row>
    <row r="50" spans="1:17" x14ac:dyDescent="0.25">
      <c r="A50" s="44">
        <f t="shared" si="8"/>
        <v>45.600000000000023</v>
      </c>
      <c r="B50" s="41">
        <f t="shared" si="7"/>
        <v>1.5392563023492661E-2</v>
      </c>
      <c r="C50" s="41">
        <f t="shared" si="2"/>
        <v>1.4145996522483923E-2</v>
      </c>
      <c r="D50" s="45">
        <f t="shared" si="5"/>
        <v>0.76962815117463301</v>
      </c>
      <c r="E50" s="45">
        <f t="shared" si="6"/>
        <v>1.0609497391862943</v>
      </c>
      <c r="F50" s="45">
        <f t="shared" si="4"/>
        <v>0.27458566344065766</v>
      </c>
      <c r="G50" s="37"/>
      <c r="H50" s="37"/>
      <c r="I50" s="37"/>
      <c r="J50" s="37"/>
      <c r="K50" s="37"/>
      <c r="L50" s="37"/>
      <c r="M50" s="37"/>
      <c r="N50" s="37"/>
      <c r="O50" s="37"/>
      <c r="P50" s="37"/>
      <c r="Q50" s="38"/>
    </row>
    <row r="51" spans="1:17" x14ac:dyDescent="0.25">
      <c r="A51" s="44">
        <f t="shared" si="8"/>
        <v>46.800000000000026</v>
      </c>
      <c r="B51" s="41">
        <f t="shared" si="7"/>
        <v>1.604319018855864E-2</v>
      </c>
      <c r="C51" s="41">
        <f t="shared" si="2"/>
        <v>1.6693704174171441E-2</v>
      </c>
      <c r="D51" s="45">
        <f t="shared" si="5"/>
        <v>0.80215950942793202</v>
      </c>
      <c r="E51" s="45">
        <f t="shared" si="6"/>
        <v>1.2520278130628582</v>
      </c>
      <c r="F51" s="45">
        <f t="shared" si="4"/>
        <v>0.35931174926090914</v>
      </c>
      <c r="G51" s="37"/>
      <c r="H51" s="37"/>
      <c r="I51" s="37"/>
      <c r="J51" s="37"/>
      <c r="K51" s="37"/>
      <c r="L51" s="37"/>
      <c r="M51" s="37"/>
      <c r="N51" s="37"/>
      <c r="O51" s="37"/>
      <c r="P51" s="37"/>
      <c r="Q51" s="38"/>
    </row>
    <row r="52" spans="1:17" x14ac:dyDescent="0.25">
      <c r="A52" s="44">
        <f t="shared" si="8"/>
        <v>48.000000000000028</v>
      </c>
      <c r="B52" s="41">
        <f t="shared" si="7"/>
        <v>1.6661230144589999E-2</v>
      </c>
      <c r="C52" s="41">
        <f t="shared" si="2"/>
        <v>1.9418605498321365E-2</v>
      </c>
      <c r="D52" s="45">
        <f t="shared" si="5"/>
        <v>0.8330615072294999</v>
      </c>
      <c r="E52" s="45">
        <f t="shared" si="6"/>
        <v>1.4563954123741023</v>
      </c>
      <c r="F52" s="45">
        <f t="shared" si="4"/>
        <v>0.42799771260504871</v>
      </c>
      <c r="G52" s="37"/>
      <c r="H52" s="37"/>
      <c r="I52" s="37"/>
      <c r="J52" s="37"/>
      <c r="K52" s="37"/>
      <c r="L52" s="37"/>
      <c r="M52" s="37"/>
      <c r="N52" s="37"/>
      <c r="O52" s="37"/>
      <c r="P52" s="37"/>
      <c r="Q52" s="38"/>
    </row>
    <row r="53" spans="1:17" x14ac:dyDescent="0.25">
      <c r="A53" s="44">
        <f t="shared" si="8"/>
        <v>49.200000000000031</v>
      </c>
      <c r="B53" s="41">
        <f t="shared" si="7"/>
        <v>1.7240900071966683E-2</v>
      </c>
      <c r="C53" s="41">
        <f t="shared" si="2"/>
        <v>2.2265349875176189E-2</v>
      </c>
      <c r="D53" s="45">
        <f t="shared" si="5"/>
        <v>0.86204500359833414</v>
      </c>
      <c r="E53" s="45">
        <f t="shared" si="6"/>
        <v>1.6699012406382141</v>
      </c>
      <c r="F53" s="45">
        <f t="shared" si="4"/>
        <v>0.48377485888394695</v>
      </c>
      <c r="G53" s="37"/>
      <c r="H53" s="37"/>
      <c r="I53" s="37"/>
      <c r="J53" s="37"/>
      <c r="K53" s="37"/>
      <c r="L53" s="37"/>
      <c r="M53" s="37"/>
      <c r="N53" s="37"/>
      <c r="O53" s="37"/>
      <c r="P53" s="37"/>
      <c r="Q53" s="38"/>
    </row>
    <row r="54" spans="1:17" x14ac:dyDescent="0.25">
      <c r="A54" s="44">
        <f t="shared" si="8"/>
        <v>50.400000000000034</v>
      </c>
      <c r="B54" s="41">
        <f t="shared" si="7"/>
        <v>1.7776626425299868E-2</v>
      </c>
      <c r="C54" s="41">
        <f t="shared" si="2"/>
        <v>2.5164434109811794E-2</v>
      </c>
      <c r="D54" s="45">
        <f t="shared" si="5"/>
        <v>0.88883132126499342</v>
      </c>
      <c r="E54" s="45">
        <f t="shared" si="6"/>
        <v>1.8873325582358846</v>
      </c>
      <c r="F54" s="45">
        <f t="shared" si="4"/>
        <v>0.52905421072383974</v>
      </c>
      <c r="G54" s="37"/>
      <c r="H54" s="37"/>
      <c r="I54" s="37"/>
      <c r="J54" s="37"/>
      <c r="K54" s="37"/>
      <c r="L54" s="37"/>
      <c r="M54" s="37"/>
      <c r="N54" s="37"/>
      <c r="O54" s="37"/>
      <c r="P54" s="37"/>
      <c r="Q54" s="38"/>
    </row>
    <row r="55" spans="1:17" x14ac:dyDescent="0.25">
      <c r="A55" s="44">
        <f t="shared" si="8"/>
        <v>51.600000000000037</v>
      </c>
      <c r="B55" s="41">
        <f t="shared" si="7"/>
        <v>1.8263133631107709E-2</v>
      </c>
      <c r="C55" s="41">
        <f t="shared" si="2"/>
        <v>2.8034381083962143E-2</v>
      </c>
      <c r="D55" s="45">
        <f t="shared" si="5"/>
        <v>0.91315668155538543</v>
      </c>
      <c r="E55" s="45">
        <f t="shared" si="6"/>
        <v>2.1025785812971609</v>
      </c>
      <c r="F55" s="45">
        <f t="shared" si="4"/>
        <v>0.56569676411712322</v>
      </c>
      <c r="G55" s="37"/>
      <c r="H55" s="37"/>
      <c r="I55" s="37"/>
      <c r="J55" s="37"/>
      <c r="K55" s="37"/>
      <c r="L55" s="37"/>
      <c r="M55" s="37"/>
      <c r="N55" s="37"/>
      <c r="O55" s="37"/>
      <c r="P55" s="37"/>
      <c r="Q55" s="38"/>
    </row>
    <row r="56" spans="1:17" x14ac:dyDescent="0.25">
      <c r="A56" s="44">
        <f t="shared" si="8"/>
        <v>52.80000000000004</v>
      </c>
      <c r="B56" s="41">
        <f t="shared" si="7"/>
        <v>1.8695530268656432E-2</v>
      </c>
      <c r="C56" s="41">
        <f>NORMDIST(A56,C$2,C$3,FALSE)</f>
        <v>3.0785126046985387E-2</v>
      </c>
      <c r="D56" s="45">
        <f t="shared" si="5"/>
        <v>0.93477651343282164</v>
      </c>
      <c r="E56" s="45">
        <f t="shared" si="6"/>
        <v>2.3088844535239041</v>
      </c>
      <c r="F56" s="45">
        <f t="shared" si="4"/>
        <v>0.59513932712997764</v>
      </c>
      <c r="G56" s="37"/>
      <c r="H56" s="37"/>
      <c r="I56" s="37"/>
      <c r="J56" s="37"/>
      <c r="K56" s="37"/>
      <c r="L56" s="37"/>
      <c r="M56" s="37"/>
      <c r="N56" s="37"/>
      <c r="O56" s="37"/>
      <c r="P56" s="37"/>
      <c r="Q56" s="38"/>
    </row>
    <row r="57" spans="1:17" x14ac:dyDescent="0.25">
      <c r="A57" s="44">
        <f t="shared" si="8"/>
        <v>54.000000000000043</v>
      </c>
      <c r="B57" s="41">
        <f t="shared" si="7"/>
        <v>1.9069390773026218E-2</v>
      </c>
      <c r="C57" s="41">
        <f t="shared" si="2"/>
        <v>3.3322460289180046E-2</v>
      </c>
      <c r="D57" s="45">
        <f t="shared" si="5"/>
        <v>0.9534695386513109</v>
      </c>
      <c r="E57" s="45">
        <f t="shared" si="6"/>
        <v>2.4991845216885036</v>
      </c>
      <c r="F57" s="45">
        <f t="shared" si="4"/>
        <v>0.61848773854956252</v>
      </c>
      <c r="G57" s="37"/>
      <c r="H57" s="37"/>
      <c r="I57" s="37"/>
      <c r="J57" s="37"/>
      <c r="K57" s="37"/>
      <c r="L57" s="37"/>
      <c r="M57" s="37"/>
      <c r="N57" s="37"/>
      <c r="O57" s="37"/>
      <c r="P57" s="37"/>
      <c r="Q57" s="38"/>
    </row>
    <row r="58" spans="1:17" x14ac:dyDescent="0.25">
      <c r="A58" s="44">
        <f t="shared" si="8"/>
        <v>55.200000000000045</v>
      </c>
      <c r="B58" s="41">
        <f t="shared" si="7"/>
        <v>1.9380830756250716E-2</v>
      </c>
      <c r="C58" s="41">
        <f t="shared" si="2"/>
        <v>3.5553252850599786E-2</v>
      </c>
      <c r="D58" s="45">
        <f t="shared" si="5"/>
        <v>0.96904153781253588</v>
      </c>
      <c r="E58" s="45">
        <f t="shared" si="6"/>
        <v>2.6664939637949838</v>
      </c>
      <c r="F58" s="45">
        <f t="shared" si="4"/>
        <v>0.63658588732247301</v>
      </c>
      <c r="G58" s="37"/>
      <c r="H58" s="37"/>
      <c r="I58" s="37"/>
      <c r="J58" s="37"/>
      <c r="K58" s="37"/>
      <c r="L58" s="37"/>
      <c r="M58" s="37"/>
      <c r="N58" s="37"/>
      <c r="O58" s="37"/>
      <c r="P58" s="37"/>
      <c r="Q58" s="38"/>
    </row>
    <row r="59" spans="1:17" x14ac:dyDescent="0.25">
      <c r="A59" s="44">
        <f t="shared" si="8"/>
        <v>56.400000000000048</v>
      </c>
      <c r="B59" s="41">
        <f t="shared" si="7"/>
        <v>1.9626574156021453E-2</v>
      </c>
      <c r="C59" s="41">
        <f t="shared" si="2"/>
        <v>3.7391060537312906E-2</v>
      </c>
      <c r="D59" s="45">
        <f t="shared" si="5"/>
        <v>0.98132870780107262</v>
      </c>
      <c r="E59" s="45">
        <f t="shared" si="6"/>
        <v>2.8043295402984678</v>
      </c>
      <c r="F59" s="45">
        <f t="shared" si="4"/>
        <v>0.65006655113128087</v>
      </c>
      <c r="G59" s="37"/>
      <c r="H59" s="37"/>
      <c r="I59" s="37"/>
      <c r="J59" s="37"/>
      <c r="K59" s="37"/>
      <c r="L59" s="37"/>
      <c r="M59" s="37"/>
      <c r="N59" s="37"/>
      <c r="O59" s="37"/>
      <c r="P59" s="37"/>
      <c r="Q59" s="38"/>
    </row>
    <row r="60" spans="1:17" x14ac:dyDescent="0.25">
      <c r="A60" s="44">
        <f t="shared" si="8"/>
        <v>57.600000000000051</v>
      </c>
      <c r="B60" s="41">
        <f t="shared" si="7"/>
        <v>1.980401058968281E-2</v>
      </c>
      <c r="C60" s="41">
        <f t="shared" si="2"/>
        <v>3.8761661512501461E-2</v>
      </c>
      <c r="D60" s="45">
        <f t="shared" si="5"/>
        <v>0.9902005294841405</v>
      </c>
      <c r="E60" s="45">
        <f t="shared" si="6"/>
        <v>2.9071246134376096</v>
      </c>
      <c r="F60" s="45">
        <f t="shared" si="4"/>
        <v>0.65938834375825028</v>
      </c>
      <c r="G60" s="37"/>
      <c r="H60" s="37"/>
      <c r="I60" s="37"/>
      <c r="J60" s="37"/>
      <c r="K60" s="37"/>
      <c r="L60" s="37"/>
      <c r="M60" s="37"/>
      <c r="N60" s="37"/>
      <c r="O60" s="37"/>
      <c r="P60" s="37"/>
      <c r="Q60" s="38"/>
    </row>
    <row r="61" spans="1:17" x14ac:dyDescent="0.25">
      <c r="A61" s="44">
        <f t="shared" si="8"/>
        <v>58.800000000000054</v>
      </c>
      <c r="B61" s="41">
        <f t="shared" si="7"/>
        <v>1.9911241509780346E-2</v>
      </c>
      <c r="C61" s="41">
        <f t="shared" si="2"/>
        <v>3.9608021179365634E-2</v>
      </c>
      <c r="D61" s="45">
        <f t="shared" si="5"/>
        <v>0.99556207548901732</v>
      </c>
      <c r="E61" s="45">
        <f t="shared" si="6"/>
        <v>2.9706015884524226</v>
      </c>
      <c r="F61" s="45">
        <f t="shared" si="4"/>
        <v>0.6648617979068443</v>
      </c>
      <c r="G61" s="37"/>
      <c r="H61" s="37"/>
      <c r="I61" s="37"/>
      <c r="J61" s="37"/>
      <c r="K61" s="37"/>
      <c r="L61" s="37"/>
      <c r="M61" s="37"/>
      <c r="N61" s="37"/>
      <c r="O61" s="37"/>
      <c r="P61" s="37"/>
      <c r="Q61" s="38"/>
    </row>
    <row r="62" spans="1:17" x14ac:dyDescent="0.25">
      <c r="A62" s="44">
        <f t="shared" si="8"/>
        <v>60.000000000000057</v>
      </c>
      <c r="B62" s="41">
        <f t="shared" si="7"/>
        <v>1.9947114020071637E-2</v>
      </c>
      <c r="C62" s="41">
        <f t="shared" si="2"/>
        <v>3.9894228040143274E-2</v>
      </c>
      <c r="D62" s="45">
        <f>B62*B$7</f>
        <v>0.99735570100358184</v>
      </c>
      <c r="E62" s="45">
        <f>C62*C$7</f>
        <v>2.9920671030107457</v>
      </c>
      <c r="F62" s="45">
        <f t="shared" si="4"/>
        <v>0.66666666666666674</v>
      </c>
      <c r="G62" s="37"/>
      <c r="H62" s="37"/>
      <c r="I62" s="37"/>
      <c r="J62" s="37"/>
      <c r="K62" s="37"/>
      <c r="L62" s="37"/>
      <c r="M62" s="37"/>
      <c r="N62" s="37"/>
      <c r="O62" s="37"/>
      <c r="P62" s="37"/>
      <c r="Q62" s="38"/>
    </row>
    <row r="63" spans="1:17" x14ac:dyDescent="0.25">
      <c r="A63" s="44">
        <f t="shared" ref="A63:A89" si="9">A62+E$4</f>
        <v>61.20000000000006</v>
      </c>
      <c r="B63" s="41">
        <f t="shared" ref="B63:B111" si="10">NORMDIST(A63,B$2,B$3,FALSE)</f>
        <v>1.9911241509780343E-2</v>
      </c>
      <c r="C63" s="41">
        <f t="shared" ref="C63:C90" si="11">NORMDIST(A63,C$2,C$3,FALSE)</f>
        <v>3.9608021179365578E-2</v>
      </c>
      <c r="D63" s="45">
        <f t="shared" ref="D63:D89" si="12">B63*B$7</f>
        <v>0.9955620754890171</v>
      </c>
      <c r="E63" s="45">
        <f t="shared" ref="E63:E89" si="13">C63*C$7</f>
        <v>2.9706015884524182</v>
      </c>
      <c r="F63" s="45">
        <f t="shared" si="4"/>
        <v>0.66486179790684385</v>
      </c>
      <c r="G63" s="37"/>
      <c r="H63" s="37"/>
      <c r="I63" s="37"/>
      <c r="J63" s="37"/>
      <c r="K63" s="37"/>
      <c r="L63" s="37"/>
      <c r="M63" s="37"/>
      <c r="N63" s="37"/>
      <c r="O63" s="37"/>
      <c r="P63" s="37"/>
      <c r="Q63" s="38"/>
    </row>
    <row r="64" spans="1:17" x14ac:dyDescent="0.25">
      <c r="A64" s="44">
        <f t="shared" si="9"/>
        <v>62.400000000000063</v>
      </c>
      <c r="B64" s="41">
        <f t="shared" si="10"/>
        <v>1.9804010589682796E-2</v>
      </c>
      <c r="C64" s="41">
        <f t="shared" si="11"/>
        <v>3.8761661512501357E-2</v>
      </c>
      <c r="D64" s="45">
        <f t="shared" si="12"/>
        <v>0.99020052948413984</v>
      </c>
      <c r="E64" s="45">
        <f t="shared" si="13"/>
        <v>2.9071246134376016</v>
      </c>
      <c r="F64" s="45">
        <f t="shared" si="4"/>
        <v>0.65938834375824962</v>
      </c>
      <c r="G64" s="37"/>
      <c r="H64" s="37"/>
      <c r="I64" s="37"/>
      <c r="J64" s="37"/>
      <c r="K64" s="37"/>
      <c r="L64" s="37"/>
      <c r="M64" s="37"/>
      <c r="N64" s="37"/>
      <c r="O64" s="37"/>
      <c r="P64" s="37"/>
      <c r="Q64" s="38"/>
    </row>
    <row r="65" spans="1:17" x14ac:dyDescent="0.25">
      <c r="A65" s="44">
        <f t="shared" si="9"/>
        <v>63.600000000000065</v>
      </c>
      <c r="B65" s="41">
        <f t="shared" si="10"/>
        <v>1.9626574156021433E-2</v>
      </c>
      <c r="C65" s="41">
        <f t="shared" si="11"/>
        <v>3.7391060537312754E-2</v>
      </c>
      <c r="D65" s="45">
        <f t="shared" si="12"/>
        <v>0.98132870780107162</v>
      </c>
      <c r="E65" s="45">
        <f t="shared" si="13"/>
        <v>2.8043295402984567</v>
      </c>
      <c r="F65" s="45">
        <f t="shared" si="4"/>
        <v>0.65006655113127987</v>
      </c>
      <c r="G65" s="37"/>
      <c r="H65" s="37"/>
      <c r="I65" s="37"/>
      <c r="J65" s="37"/>
      <c r="K65" s="37"/>
      <c r="L65" s="37"/>
      <c r="M65" s="37"/>
      <c r="N65" s="37"/>
      <c r="O65" s="37"/>
      <c r="P65" s="37"/>
      <c r="Q65" s="38"/>
    </row>
    <row r="66" spans="1:17" x14ac:dyDescent="0.25">
      <c r="A66" s="44">
        <f t="shared" si="9"/>
        <v>64.800000000000068</v>
      </c>
      <c r="B66" s="41">
        <f t="shared" si="10"/>
        <v>1.9380830756250692E-2</v>
      </c>
      <c r="C66" s="41">
        <f t="shared" si="11"/>
        <v>3.5553252850599598E-2</v>
      </c>
      <c r="D66" s="45">
        <f t="shared" si="12"/>
        <v>0.96904153781253466</v>
      </c>
      <c r="E66" s="45">
        <f t="shared" si="13"/>
        <v>2.6664939637949701</v>
      </c>
      <c r="F66" s="45">
        <f t="shared" si="4"/>
        <v>0.63658588732247157</v>
      </c>
      <c r="G66" s="37"/>
      <c r="H66" s="37"/>
      <c r="I66" s="37"/>
      <c r="J66" s="37"/>
      <c r="K66" s="37"/>
      <c r="L66" s="37"/>
      <c r="M66" s="37"/>
      <c r="N66" s="37"/>
      <c r="O66" s="37"/>
      <c r="P66" s="37"/>
      <c r="Q66" s="38"/>
    </row>
    <row r="67" spans="1:17" x14ac:dyDescent="0.25">
      <c r="A67" s="44">
        <f t="shared" si="9"/>
        <v>66.000000000000071</v>
      </c>
      <c r="B67" s="41">
        <f t="shared" si="10"/>
        <v>1.9069390773026183E-2</v>
      </c>
      <c r="C67" s="41">
        <f t="shared" si="11"/>
        <v>3.3322460289179824E-2</v>
      </c>
      <c r="D67" s="45">
        <f t="shared" si="12"/>
        <v>0.95346953865130912</v>
      </c>
      <c r="E67" s="45">
        <f t="shared" si="13"/>
        <v>2.4991845216884867</v>
      </c>
      <c r="F67" s="45">
        <f t="shared" si="4"/>
        <v>0.61848773854956074</v>
      </c>
      <c r="G67" s="37"/>
      <c r="H67" s="37"/>
      <c r="I67" s="37"/>
      <c r="J67" s="37"/>
      <c r="K67" s="37"/>
      <c r="L67" s="37"/>
      <c r="M67" s="37"/>
      <c r="N67" s="37"/>
      <c r="O67" s="37"/>
      <c r="P67" s="37"/>
      <c r="Q67" s="38"/>
    </row>
    <row r="68" spans="1:17" x14ac:dyDescent="0.25">
      <c r="A68" s="44">
        <f t="shared" si="9"/>
        <v>67.200000000000074</v>
      </c>
      <c r="B68" s="41">
        <f t="shared" si="10"/>
        <v>1.8695530268656394E-2</v>
      </c>
      <c r="C68" s="41">
        <f t="shared" si="11"/>
        <v>3.0785126046985131E-2</v>
      </c>
      <c r="D68" s="45">
        <f t="shared" si="12"/>
        <v>0.93477651343281976</v>
      </c>
      <c r="E68" s="45">
        <f t="shared" si="13"/>
        <v>2.3088844535238846</v>
      </c>
      <c r="F68" s="45">
        <f t="shared" si="4"/>
        <v>0.59513932712997508</v>
      </c>
      <c r="G68" s="37"/>
      <c r="H68" s="37"/>
      <c r="I68" s="37"/>
      <c r="J68" s="37"/>
      <c r="K68" s="37"/>
      <c r="L68" s="37"/>
      <c r="M68" s="37"/>
      <c r="N68" s="37"/>
      <c r="O68" s="37"/>
      <c r="P68" s="37"/>
      <c r="Q68" s="38"/>
    </row>
    <row r="69" spans="1:17" x14ac:dyDescent="0.25">
      <c r="A69" s="44">
        <f t="shared" si="9"/>
        <v>68.400000000000077</v>
      </c>
      <c r="B69" s="41">
        <f t="shared" si="10"/>
        <v>1.8263133631107667E-2</v>
      </c>
      <c r="C69" s="41">
        <f t="shared" si="11"/>
        <v>2.8034381083961876E-2</v>
      </c>
      <c r="D69" s="45">
        <f t="shared" si="12"/>
        <v>0.91315668155538332</v>
      </c>
      <c r="E69" s="45">
        <f t="shared" si="13"/>
        <v>2.1025785812971409</v>
      </c>
      <c r="F69" s="45">
        <f t="shared" si="4"/>
        <v>0.56569676411712</v>
      </c>
      <c r="G69" s="37"/>
      <c r="H69" s="37"/>
      <c r="I69" s="37"/>
      <c r="J69" s="37"/>
      <c r="K69" s="37"/>
      <c r="L69" s="37"/>
      <c r="M69" s="37"/>
      <c r="N69" s="37"/>
      <c r="O69" s="37"/>
      <c r="P69" s="37"/>
      <c r="Q69" s="38"/>
    </row>
    <row r="70" spans="1:17" x14ac:dyDescent="0.25">
      <c r="A70" s="44">
        <f t="shared" si="9"/>
        <v>69.60000000000008</v>
      </c>
      <c r="B70" s="41">
        <f t="shared" si="10"/>
        <v>1.777662642529982E-2</v>
      </c>
      <c r="C70" s="41">
        <f t="shared" si="11"/>
        <v>2.5164434109811517E-2</v>
      </c>
      <c r="D70" s="45">
        <f t="shared" si="12"/>
        <v>0.88883132126499098</v>
      </c>
      <c r="E70" s="45">
        <f t="shared" si="13"/>
        <v>1.8873325582358638</v>
      </c>
      <c r="F70" s="45">
        <f t="shared" si="4"/>
        <v>0.52905421072383585</v>
      </c>
      <c r="G70" s="37"/>
      <c r="H70" s="37"/>
      <c r="I70" s="37"/>
      <c r="J70" s="37"/>
      <c r="K70" s="37"/>
      <c r="L70" s="37"/>
      <c r="M70" s="37"/>
      <c r="N70" s="37"/>
      <c r="O70" s="37"/>
      <c r="P70" s="37"/>
      <c r="Q70" s="38"/>
    </row>
    <row r="71" spans="1:17" x14ac:dyDescent="0.25">
      <c r="A71" s="44">
        <f t="shared" si="9"/>
        <v>70.800000000000082</v>
      </c>
      <c r="B71" s="41">
        <f t="shared" si="10"/>
        <v>1.7240900071966631E-2</v>
      </c>
      <c r="C71" s="41">
        <f t="shared" si="11"/>
        <v>2.2265349875175915E-2</v>
      </c>
      <c r="D71" s="45">
        <f t="shared" si="12"/>
        <v>0.86204500359833158</v>
      </c>
      <c r="E71" s="45">
        <f t="shared" si="13"/>
        <v>1.6699012406381937</v>
      </c>
      <c r="F71" s="45">
        <f t="shared" si="4"/>
        <v>0.48377485888394217</v>
      </c>
      <c r="G71" s="37"/>
      <c r="H71" s="37"/>
      <c r="I71" s="37"/>
      <c r="J71" s="37"/>
      <c r="K71" s="37"/>
      <c r="L71" s="37"/>
      <c r="M71" s="37"/>
      <c r="N71" s="37"/>
      <c r="O71" s="37"/>
      <c r="P71" s="37"/>
      <c r="Q71" s="38"/>
    </row>
    <row r="72" spans="1:17" x14ac:dyDescent="0.25">
      <c r="A72" s="44">
        <f t="shared" si="9"/>
        <v>72.000000000000085</v>
      </c>
      <c r="B72" s="41">
        <f t="shared" si="10"/>
        <v>1.666123014458994E-2</v>
      </c>
      <c r="C72" s="41">
        <f t="shared" si="11"/>
        <v>1.9418605498321095E-2</v>
      </c>
      <c r="D72" s="45">
        <f t="shared" si="12"/>
        <v>0.83306150722949701</v>
      </c>
      <c r="E72" s="45">
        <f t="shared" si="13"/>
        <v>1.4563954123740821</v>
      </c>
      <c r="F72" s="45">
        <f t="shared" si="4"/>
        <v>0.42799771260504271</v>
      </c>
      <c r="G72" s="37"/>
      <c r="H72" s="37"/>
      <c r="I72" s="37"/>
      <c r="J72" s="37"/>
      <c r="K72" s="37"/>
      <c r="L72" s="37"/>
      <c r="M72" s="37"/>
      <c r="N72" s="37"/>
      <c r="O72" s="37"/>
      <c r="P72" s="37"/>
      <c r="Q72" s="38"/>
    </row>
    <row r="73" spans="1:17" x14ac:dyDescent="0.25">
      <c r="A73" s="44">
        <f t="shared" si="9"/>
        <v>73.200000000000088</v>
      </c>
      <c r="B73" s="41">
        <f t="shared" si="10"/>
        <v>1.6043190188558581E-2</v>
      </c>
      <c r="C73" s="41">
        <f t="shared" si="11"/>
        <v>1.6693704174171192E-2</v>
      </c>
      <c r="D73" s="45">
        <f t="shared" si="12"/>
        <v>0.80215950942792902</v>
      </c>
      <c r="E73" s="45">
        <f t="shared" si="13"/>
        <v>1.2520278130628393</v>
      </c>
      <c r="F73" s="45">
        <f t="shared" si="4"/>
        <v>0.35931174926090192</v>
      </c>
      <c r="G73" s="37"/>
      <c r="H73" s="37"/>
      <c r="I73" s="37"/>
      <c r="J73" s="37"/>
      <c r="K73" s="37"/>
      <c r="L73" s="37"/>
      <c r="M73" s="37"/>
      <c r="N73" s="37"/>
      <c r="O73" s="37"/>
      <c r="P73" s="37"/>
      <c r="Q73" s="38"/>
    </row>
    <row r="74" spans="1:17" x14ac:dyDescent="0.25">
      <c r="A74" s="44">
        <f t="shared" si="9"/>
        <v>74.400000000000091</v>
      </c>
      <c r="B74" s="41">
        <f t="shared" si="10"/>
        <v>1.5392563023492596E-2</v>
      </c>
      <c r="C74" s="41">
        <f t="shared" si="11"/>
        <v>1.4145996522483696E-2</v>
      </c>
      <c r="D74" s="45">
        <f t="shared" si="12"/>
        <v>0.76962815117462979</v>
      </c>
      <c r="E74" s="45">
        <f t="shared" si="13"/>
        <v>1.0609497391862772</v>
      </c>
      <c r="F74" s="45">
        <f t="shared" si="4"/>
        <v>0.274585663440649</v>
      </c>
      <c r="G74" s="37"/>
      <c r="H74" s="37"/>
      <c r="I74" s="37"/>
      <c r="J74" s="37"/>
      <c r="K74" s="37"/>
      <c r="L74" s="37"/>
      <c r="M74" s="37"/>
      <c r="N74" s="37"/>
      <c r="O74" s="37"/>
      <c r="P74" s="37"/>
      <c r="Q74" s="38"/>
    </row>
    <row r="75" spans="1:17" x14ac:dyDescent="0.25">
      <c r="A75" s="44">
        <f t="shared" si="9"/>
        <v>75.600000000000094</v>
      </c>
      <c r="B75" s="41">
        <f t="shared" si="10"/>
        <v>1.4715251489416204E-2</v>
      </c>
      <c r="C75" s="41">
        <f t="shared" si="11"/>
        <v>1.1815729505958057E-2</v>
      </c>
      <c r="D75" s="45">
        <f t="shared" si="12"/>
        <v>0.73576257447081017</v>
      </c>
      <c r="E75" s="45">
        <f t="shared" si="13"/>
        <v>0.88617971294685427</v>
      </c>
      <c r="F75" s="45">
        <f t="shared" si="4"/>
        <v>0.16973660791201714</v>
      </c>
      <c r="G75" s="37"/>
      <c r="H75" s="37"/>
      <c r="I75" s="37"/>
      <c r="J75" s="37"/>
      <c r="K75" s="37"/>
      <c r="L75" s="37"/>
      <c r="M75" s="37"/>
      <c r="N75" s="37"/>
      <c r="O75" s="37"/>
      <c r="P75" s="37"/>
      <c r="Q75" s="38"/>
    </row>
    <row r="76" spans="1:17" x14ac:dyDescent="0.25">
      <c r="A76" s="44">
        <f t="shared" si="9"/>
        <v>76.800000000000097</v>
      </c>
      <c r="B76" s="41">
        <f t="shared" si="10"/>
        <v>1.4017190541980971E-2</v>
      </c>
      <c r="C76" s="41">
        <f t="shared" si="11"/>
        <v>9.7282269331465925E-3</v>
      </c>
      <c r="D76" s="45">
        <f t="shared" si="12"/>
        <v>0.70085952709904853</v>
      </c>
      <c r="E76" s="45">
        <f t="shared" si="13"/>
        <v>0.72961701998599449</v>
      </c>
      <c r="F76" s="45">
        <f t="shared" si="4"/>
        <v>3.9414503909870384E-2</v>
      </c>
      <c r="G76" s="37"/>
      <c r="H76" s="37"/>
      <c r="I76" s="37"/>
      <c r="J76" s="37"/>
      <c r="K76" s="37"/>
      <c r="L76" s="37"/>
      <c r="M76" s="37"/>
      <c r="N76" s="37"/>
      <c r="O76" s="37"/>
      <c r="P76" s="37"/>
      <c r="Q76" s="38"/>
    </row>
    <row r="77" spans="1:17" x14ac:dyDescent="0.25">
      <c r="A77" s="44">
        <f t="shared" si="9"/>
        <v>78.000000000000099</v>
      </c>
      <c r="B77" s="41">
        <f t="shared" si="10"/>
        <v>1.3304262494937684E-2</v>
      </c>
      <c r="C77" s="41">
        <f t="shared" si="11"/>
        <v>7.8950158300892734E-3</v>
      </c>
      <c r="D77" s="45">
        <f t="shared" si="12"/>
        <v>0.66521312474688421</v>
      </c>
      <c r="E77" s="45">
        <f t="shared" si="13"/>
        <v>0.59212618725669552</v>
      </c>
      <c r="F77" s="45">
        <f t="shared" ref="F77:F112" si="14">(E77-D77)/E77</f>
        <v>-0.12343135477388439</v>
      </c>
      <c r="G77" s="37"/>
      <c r="H77" s="37"/>
      <c r="I77" s="37"/>
      <c r="J77" s="37"/>
      <c r="K77" s="37"/>
      <c r="L77" s="37"/>
      <c r="M77" s="37"/>
      <c r="N77" s="37"/>
      <c r="O77" s="37"/>
      <c r="P77" s="37"/>
      <c r="Q77" s="38"/>
    </row>
    <row r="78" spans="1:17" x14ac:dyDescent="0.25">
      <c r="A78" s="44">
        <f t="shared" si="9"/>
        <v>79.200000000000102</v>
      </c>
      <c r="B78" s="41">
        <f t="shared" si="10"/>
        <v>1.2582217054905795E-2</v>
      </c>
      <c r="C78" s="41">
        <f t="shared" si="11"/>
        <v>6.3156561435197406E-3</v>
      </c>
      <c r="D78" s="45">
        <f t="shared" si="12"/>
        <v>0.62911085274528977</v>
      </c>
      <c r="E78" s="45">
        <f t="shared" si="13"/>
        <v>0.47367421076398053</v>
      </c>
      <c r="F78" s="45">
        <f t="shared" si="14"/>
        <v>-0.32815094942705092</v>
      </c>
      <c r="G78" s="37"/>
      <c r="H78" s="37"/>
      <c r="I78" s="37"/>
      <c r="J78" s="37"/>
      <c r="K78" s="37"/>
      <c r="L78" s="37"/>
      <c r="M78" s="37"/>
      <c r="N78" s="37"/>
      <c r="O78" s="37"/>
      <c r="P78" s="37"/>
      <c r="Q78" s="38"/>
    </row>
    <row r="79" spans="1:17" x14ac:dyDescent="0.25">
      <c r="A79" s="44">
        <f t="shared" si="9"/>
        <v>80.400000000000105</v>
      </c>
      <c r="B79" s="41">
        <f t="shared" si="10"/>
        <v>1.1856597600968915E-2</v>
      </c>
      <c r="C79" s="41">
        <f t="shared" si="11"/>
        <v>4.9800087735069687E-3</v>
      </c>
      <c r="D79" s="45">
        <f t="shared" si="12"/>
        <v>0.59282988004844572</v>
      </c>
      <c r="E79" s="45">
        <f t="shared" si="13"/>
        <v>0.37350065801302268</v>
      </c>
      <c r="F79" s="45">
        <f t="shared" si="14"/>
        <v>-0.58722579821472709</v>
      </c>
      <c r="G79" s="37"/>
      <c r="H79" s="37"/>
      <c r="I79" s="37"/>
      <c r="J79" s="37"/>
      <c r="K79" s="37"/>
      <c r="L79" s="37"/>
      <c r="M79" s="37"/>
      <c r="N79" s="37"/>
      <c r="O79" s="37"/>
      <c r="P79" s="37"/>
      <c r="Q79" s="38"/>
    </row>
    <row r="80" spans="1:17" x14ac:dyDescent="0.25">
      <c r="A80" s="44">
        <f t="shared" si="9"/>
        <v>81.600000000000108</v>
      </c>
      <c r="B80" s="41">
        <f t="shared" si="10"/>
        <v>1.1132674937587994E-2</v>
      </c>
      <c r="C80" s="41">
        <f t="shared" si="11"/>
        <v>3.8706856147454711E-3</v>
      </c>
      <c r="D80" s="45">
        <f t="shared" si="12"/>
        <v>0.5566337468793997</v>
      </c>
      <c r="E80" s="45">
        <f t="shared" si="13"/>
        <v>0.29030142110591034</v>
      </c>
      <c r="F80" s="45">
        <f t="shared" si="14"/>
        <v>-0.91743376508075603</v>
      </c>
      <c r="G80" s="37"/>
      <c r="H80" s="37"/>
      <c r="I80" s="37"/>
      <c r="J80" s="37"/>
      <c r="K80" s="37"/>
      <c r="L80" s="37"/>
      <c r="M80" s="37"/>
      <c r="N80" s="37"/>
      <c r="O80" s="37"/>
      <c r="P80" s="37"/>
      <c r="Q80" s="38"/>
    </row>
    <row r="81" spans="1:17" x14ac:dyDescent="0.25">
      <c r="A81" s="44">
        <f t="shared" si="9"/>
        <v>82.800000000000111</v>
      </c>
      <c r="B81" s="41">
        <f t="shared" si="10"/>
        <v>1.0415389502355354E-2</v>
      </c>
      <c r="C81" s="41">
        <f t="shared" si="11"/>
        <v>2.9654584847340531E-3</v>
      </c>
      <c r="D81" s="45">
        <f t="shared" si="12"/>
        <v>0.52076947511776772</v>
      </c>
      <c r="E81" s="45">
        <f t="shared" si="13"/>
        <v>0.22240938635505397</v>
      </c>
      <c r="F81" s="45">
        <f t="shared" si="14"/>
        <v>-1.3414905443172807</v>
      </c>
      <c r="G81" s="37"/>
      <c r="H81" s="37"/>
      <c r="I81" s="37"/>
      <c r="J81" s="37"/>
      <c r="K81" s="37"/>
      <c r="L81" s="37"/>
      <c r="M81" s="37"/>
      <c r="N81" s="37"/>
      <c r="O81" s="37"/>
      <c r="P81" s="37"/>
      <c r="Q81" s="38"/>
    </row>
    <row r="82" spans="1:17" x14ac:dyDescent="0.25">
      <c r="A82" s="44">
        <f t="shared" si="9"/>
        <v>84.000000000000114</v>
      </c>
      <c r="B82" s="41">
        <f t="shared" si="10"/>
        <v>9.7093027491605803E-3</v>
      </c>
      <c r="C82" s="41">
        <f t="shared" si="11"/>
        <v>2.2394530294842286E-3</v>
      </c>
      <c r="D82" s="45">
        <f t="shared" si="12"/>
        <v>0.48546513745802899</v>
      </c>
      <c r="E82" s="45">
        <f t="shared" si="13"/>
        <v>0.16795897721131714</v>
      </c>
      <c r="F82" s="45">
        <f t="shared" si="14"/>
        <v>-1.8903792194878772</v>
      </c>
      <c r="G82" s="37"/>
      <c r="H82" s="37"/>
      <c r="I82" s="37"/>
      <c r="J82" s="37"/>
      <c r="K82" s="37"/>
      <c r="L82" s="37"/>
      <c r="M82" s="37"/>
      <c r="N82" s="37"/>
      <c r="O82" s="37"/>
      <c r="P82" s="37"/>
      <c r="Q82" s="38"/>
    </row>
    <row r="83" spans="1:17" x14ac:dyDescent="0.25">
      <c r="A83" s="44">
        <f t="shared" si="9"/>
        <v>85.200000000000117</v>
      </c>
      <c r="B83" s="41">
        <f t="shared" si="10"/>
        <v>9.0185581613539505E-3</v>
      </c>
      <c r="C83" s="41">
        <f t="shared" si="11"/>
        <v>1.6670100837380575E-3</v>
      </c>
      <c r="D83" s="45">
        <f t="shared" si="12"/>
        <v>0.4509279080676975</v>
      </c>
      <c r="E83" s="45">
        <f t="shared" si="13"/>
        <v>0.12502575628035431</v>
      </c>
      <c r="F83" s="45">
        <f t="shared" si="14"/>
        <v>-2.6066801072296588</v>
      </c>
      <c r="G83" s="37"/>
      <c r="H83" s="37"/>
      <c r="I83" s="37"/>
      <c r="J83" s="37"/>
      <c r="K83" s="37"/>
      <c r="L83" s="37"/>
      <c r="M83" s="37"/>
      <c r="N83" s="37"/>
      <c r="O83" s="37"/>
      <c r="P83" s="37"/>
      <c r="Q83" s="38"/>
    </row>
    <row r="84" spans="1:17" x14ac:dyDescent="0.25">
      <c r="A84" s="44">
        <f t="shared" si="9"/>
        <v>86.400000000000119</v>
      </c>
      <c r="B84" s="41">
        <f t="shared" si="10"/>
        <v>8.3468520870856253E-3</v>
      </c>
      <c r="C84" s="41">
        <f t="shared" si="11"/>
        <v>1.2231526351277585E-3</v>
      </c>
      <c r="D84" s="45">
        <f t="shared" si="12"/>
        <v>0.41734260435428128</v>
      </c>
      <c r="E84" s="45">
        <f t="shared" si="13"/>
        <v>9.1736447634581886E-2</v>
      </c>
      <c r="F84" s="45">
        <f t="shared" si="14"/>
        <v>-3.5493652208629416</v>
      </c>
      <c r="G84" s="37"/>
      <c r="H84" s="37"/>
      <c r="I84" s="37"/>
      <c r="J84" s="37"/>
      <c r="K84" s="37"/>
      <c r="L84" s="37"/>
      <c r="M84" s="37"/>
      <c r="N84" s="37"/>
      <c r="O84" s="37"/>
      <c r="P84" s="37"/>
      <c r="Q84" s="38"/>
    </row>
    <row r="85" spans="1:17" x14ac:dyDescent="0.25">
      <c r="A85" s="44">
        <f t="shared" si="9"/>
        <v>87.600000000000122</v>
      </c>
      <c r="B85" s="41">
        <f t="shared" si="10"/>
        <v>7.6974143381316196E-3</v>
      </c>
      <c r="C85" s="41">
        <f t="shared" si="11"/>
        <v>8.8464543982369242E-4</v>
      </c>
      <c r="D85" s="45">
        <f t="shared" si="12"/>
        <v>0.38487071690658098</v>
      </c>
      <c r="E85" s="45">
        <f t="shared" si="13"/>
        <v>6.6348407986776936E-2</v>
      </c>
      <c r="F85" s="45">
        <f t="shared" si="14"/>
        <v>-4.8007528527780909</v>
      </c>
      <c r="G85" s="37"/>
      <c r="H85" s="37"/>
      <c r="I85" s="37"/>
      <c r="J85" s="37"/>
      <c r="K85" s="37"/>
      <c r="L85" s="37"/>
      <c r="M85" s="37"/>
      <c r="N85" s="37"/>
      <c r="O85" s="37"/>
      <c r="P85" s="37"/>
      <c r="Q85" s="38"/>
    </row>
    <row r="86" spans="1:17" x14ac:dyDescent="0.25">
      <c r="A86" s="44">
        <f t="shared" si="9"/>
        <v>88.800000000000125</v>
      </c>
      <c r="B86" s="41">
        <f t="shared" si="10"/>
        <v>7.0729982612418767E-3</v>
      </c>
      <c r="C86" s="41">
        <f t="shared" si="11"/>
        <v>6.3067263962657044E-4</v>
      </c>
      <c r="D86" s="45">
        <f t="shared" si="12"/>
        <v>0.35364991306209381</v>
      </c>
      <c r="E86" s="45">
        <f t="shared" si="13"/>
        <v>4.730044797199278E-2</v>
      </c>
      <c r="F86" s="45">
        <f t="shared" si="14"/>
        <v>-6.4766715374766557</v>
      </c>
      <c r="G86" s="37"/>
      <c r="H86" s="37"/>
      <c r="I86" s="37"/>
      <c r="J86" s="37"/>
      <c r="K86" s="37"/>
      <c r="L86" s="37"/>
      <c r="M86" s="37"/>
      <c r="N86" s="37"/>
      <c r="O86" s="37"/>
      <c r="P86" s="37"/>
      <c r="Q86" s="38"/>
    </row>
    <row r="87" spans="1:17" x14ac:dyDescent="0.25">
      <c r="A87" s="44">
        <f t="shared" si="9"/>
        <v>90.000000000000128</v>
      </c>
      <c r="B87" s="41">
        <f t="shared" si="10"/>
        <v>6.4758797832945242E-3</v>
      </c>
      <c r="C87" s="41">
        <f t="shared" si="11"/>
        <v>4.4318484119378347E-4</v>
      </c>
      <c r="D87" s="45">
        <f t="shared" si="12"/>
        <v>0.32379398916472624</v>
      </c>
      <c r="E87" s="45">
        <f t="shared" si="13"/>
        <v>3.3238863089533763E-2</v>
      </c>
      <c r="F87" s="45">
        <f t="shared" si="14"/>
        <v>-8.7414279270785986</v>
      </c>
      <c r="G87" s="37"/>
      <c r="H87" s="37"/>
      <c r="I87" s="37"/>
      <c r="J87" s="37"/>
      <c r="K87" s="37"/>
      <c r="L87" s="37"/>
      <c r="M87" s="37"/>
      <c r="N87" s="37"/>
      <c r="O87" s="37"/>
      <c r="P87" s="37"/>
      <c r="Q87" s="38"/>
    </row>
    <row r="88" spans="1:17" x14ac:dyDescent="0.25">
      <c r="A88" s="44">
        <f t="shared" si="9"/>
        <v>91.200000000000131</v>
      </c>
      <c r="B88" s="41">
        <f t="shared" si="10"/>
        <v>5.9078647529790546E-3</v>
      </c>
      <c r="C88" s="41">
        <f t="shared" si="11"/>
        <v>3.0698133011046181E-4</v>
      </c>
      <c r="D88" s="45">
        <f t="shared" si="12"/>
        <v>0.29539323764895276</v>
      </c>
      <c r="E88" s="45">
        <f t="shared" si="13"/>
        <v>2.3023599758284635E-2</v>
      </c>
      <c r="F88" s="45">
        <f t="shared" si="14"/>
        <v>-11.830019664612209</v>
      </c>
      <c r="G88" s="37"/>
      <c r="H88" s="37"/>
      <c r="I88" s="37"/>
      <c r="J88" s="37"/>
      <c r="K88" s="37"/>
      <c r="L88" s="37"/>
      <c r="M88" s="37"/>
      <c r="N88" s="37"/>
      <c r="O88" s="37"/>
      <c r="P88" s="37"/>
      <c r="Q88" s="38"/>
    </row>
    <row r="89" spans="1:17" x14ac:dyDescent="0.25">
      <c r="A89" s="44">
        <f t="shared" si="9"/>
        <v>92.400000000000134</v>
      </c>
      <c r="B89" s="41">
        <f t="shared" si="10"/>
        <v>5.3703037556741334E-3</v>
      </c>
      <c r="C89" s="41">
        <f t="shared" si="11"/>
        <v>2.0959706128578526E-4</v>
      </c>
      <c r="D89" s="45">
        <f t="shared" si="12"/>
        <v>0.26851518778370664</v>
      </c>
      <c r="E89" s="45">
        <f t="shared" si="13"/>
        <v>1.5719779596433895E-2</v>
      </c>
      <c r="F89" s="45">
        <f t="shared" si="14"/>
        <v>-16.081358306360769</v>
      </c>
      <c r="G89" s="37"/>
      <c r="H89" s="37"/>
      <c r="I89" s="37"/>
      <c r="J89" s="37"/>
      <c r="K89" s="37"/>
      <c r="L89" s="37"/>
      <c r="M89" s="37"/>
      <c r="N89" s="37"/>
      <c r="O89" s="37"/>
      <c r="P89" s="37"/>
      <c r="Q89" s="38"/>
    </row>
    <row r="90" spans="1:17" x14ac:dyDescent="0.25">
      <c r="A90" s="44">
        <f>A89+E$4</f>
        <v>93.600000000000136</v>
      </c>
      <c r="B90" s="41">
        <f>NORMDIST(A90,B$2,B$3,FALSE)</f>
        <v>4.8641134665733188E-3</v>
      </c>
      <c r="C90" s="41">
        <f t="shared" si="11"/>
        <v>1.4106022569413185E-4</v>
      </c>
      <c r="D90" s="45">
        <f>B90*B$7</f>
        <v>0.24320567332866594</v>
      </c>
      <c r="E90" s="45">
        <f>C90*C$7</f>
        <v>1.0579516927059888E-2</v>
      </c>
      <c r="F90" s="45">
        <f t="shared" si="14"/>
        <v>-21.988353344055216</v>
      </c>
      <c r="G90" s="37"/>
      <c r="H90" s="37"/>
      <c r="I90" s="37"/>
      <c r="J90" s="37"/>
      <c r="K90" s="37"/>
      <c r="L90" s="37"/>
      <c r="M90" s="37"/>
      <c r="N90" s="37"/>
      <c r="O90" s="37"/>
      <c r="P90" s="37"/>
      <c r="Q90" s="38"/>
    </row>
    <row r="91" spans="1:17" x14ac:dyDescent="0.25">
      <c r="A91" s="44">
        <f t="shared" ref="A91:A111" si="15">A90+E$4</f>
        <v>94.800000000000139</v>
      </c>
      <c r="B91" s="41">
        <f t="shared" si="10"/>
        <v>4.3898035305452287E-3</v>
      </c>
      <c r="C91" s="41">
        <f t="shared" ref="C91:C112" si="16">NORMDIST(A91,C$2,C$3,FALSE)</f>
        <v>9.3577215692743467E-5</v>
      </c>
      <c r="D91" s="45">
        <f t="shared" ref="D91:D111" si="17">B91*B$7</f>
        <v>0.21949017652726144</v>
      </c>
      <c r="E91" s="45">
        <f t="shared" ref="E91:E111" si="18">C91*C$7</f>
        <v>7.0182911769557602E-3</v>
      </c>
      <c r="F91" s="45">
        <f t="shared" si="14"/>
        <v>-30.274019699830557</v>
      </c>
      <c r="G91" s="37"/>
      <c r="H91" s="37"/>
      <c r="I91" s="37"/>
      <c r="J91" s="37"/>
      <c r="K91" s="37"/>
      <c r="L91" s="37"/>
      <c r="M91" s="37"/>
      <c r="N91" s="37"/>
      <c r="O91" s="37"/>
      <c r="P91" s="37"/>
      <c r="Q91" s="38"/>
    </row>
    <row r="92" spans="1:17" x14ac:dyDescent="0.25">
      <c r="A92" s="44">
        <f t="shared" si="15"/>
        <v>96.000000000000142</v>
      </c>
      <c r="B92" s="41">
        <f t="shared" si="10"/>
        <v>3.9475079150446575E-3</v>
      </c>
      <c r="C92" s="41">
        <f t="shared" si="16"/>
        <v>6.1190193011374097E-5</v>
      </c>
      <c r="D92" s="45">
        <f t="shared" si="17"/>
        <v>0.19737539575223287</v>
      </c>
      <c r="E92" s="45">
        <f t="shared" si="18"/>
        <v>4.5892644758530575E-3</v>
      </c>
      <c r="F92" s="45">
        <f t="shared" si="14"/>
        <v>-42.008067369127708</v>
      </c>
      <c r="G92" s="37"/>
      <c r="H92" s="37"/>
      <c r="I92" s="37"/>
      <c r="J92" s="37"/>
      <c r="K92" s="37"/>
      <c r="L92" s="37"/>
      <c r="M92" s="37"/>
      <c r="N92" s="37"/>
      <c r="O92" s="37"/>
      <c r="P92" s="37"/>
      <c r="Q92" s="38"/>
    </row>
    <row r="93" spans="1:17" x14ac:dyDescent="0.25">
      <c r="A93" s="44">
        <f t="shared" si="15"/>
        <v>97.200000000000145</v>
      </c>
      <c r="B93" s="41">
        <f t="shared" si="10"/>
        <v>3.5370196728491221E-3</v>
      </c>
      <c r="C93" s="41">
        <f t="shared" si="16"/>
        <v>3.9440252496913557E-5</v>
      </c>
      <c r="D93" s="45">
        <f t="shared" si="17"/>
        <v>0.17685098364245611</v>
      </c>
      <c r="E93" s="45">
        <f t="shared" si="18"/>
        <v>2.9580189372685169E-3</v>
      </c>
      <c r="F93" s="45">
        <f t="shared" si="14"/>
        <v>-58.78696803265337</v>
      </c>
      <c r="G93" s="37"/>
      <c r="H93" s="37"/>
      <c r="I93" s="37"/>
      <c r="J93" s="37"/>
      <c r="K93" s="37"/>
      <c r="L93" s="37"/>
      <c r="M93" s="37"/>
      <c r="N93" s="37"/>
      <c r="O93" s="37"/>
      <c r="P93" s="37"/>
      <c r="Q93" s="38"/>
    </row>
    <row r="94" spans="1:17" x14ac:dyDescent="0.25">
      <c r="A94" s="44">
        <f t="shared" si="15"/>
        <v>98.400000000000148</v>
      </c>
      <c r="B94" s="41">
        <f t="shared" si="10"/>
        <v>3.1578280717598863E-3</v>
      </c>
      <c r="C94" s="41">
        <f t="shared" si="16"/>
        <v>2.5057844489084633E-5</v>
      </c>
      <c r="D94" s="45">
        <f t="shared" si="17"/>
        <v>0.15789140358799431</v>
      </c>
      <c r="E94" s="45">
        <f t="shared" si="18"/>
        <v>1.8793383366813474E-3</v>
      </c>
      <c r="F94" s="45">
        <f t="shared" si="14"/>
        <v>-83.014357875979243</v>
      </c>
      <c r="G94" s="37"/>
      <c r="H94" s="37"/>
      <c r="I94" s="37"/>
      <c r="J94" s="37"/>
      <c r="K94" s="37"/>
      <c r="L94" s="37"/>
      <c r="M94" s="37"/>
      <c r="N94" s="37"/>
      <c r="O94" s="37"/>
      <c r="P94" s="37"/>
      <c r="Q94" s="38"/>
    </row>
    <row r="95" spans="1:17" x14ac:dyDescent="0.25">
      <c r="A95" s="44">
        <f t="shared" si="15"/>
        <v>99.600000000000151</v>
      </c>
      <c r="B95" s="41">
        <f t="shared" si="10"/>
        <v>2.8091570951933602E-3</v>
      </c>
      <c r="C95" s="41">
        <f t="shared" si="16"/>
        <v>1.5692563406552293E-5</v>
      </c>
      <c r="D95" s="45">
        <f t="shared" si="17"/>
        <v>0.14045785475966802</v>
      </c>
      <c r="E95" s="45">
        <f t="shared" si="18"/>
        <v>1.1769422554914219E-3</v>
      </c>
      <c r="F95" s="45">
        <f t="shared" si="14"/>
        <v>-118.34133055748013</v>
      </c>
      <c r="G95" s="37"/>
      <c r="H95" s="37"/>
      <c r="I95" s="37"/>
      <c r="J95" s="37"/>
      <c r="K95" s="37"/>
      <c r="L95" s="37"/>
      <c r="M95" s="37"/>
      <c r="N95" s="37"/>
      <c r="O95" s="37"/>
      <c r="P95" s="37"/>
      <c r="Q95" s="38"/>
    </row>
    <row r="96" spans="1:17" x14ac:dyDescent="0.25">
      <c r="A96" s="44">
        <f t="shared" si="15"/>
        <v>100.80000000000015</v>
      </c>
      <c r="B96" s="41">
        <f t="shared" si="10"/>
        <v>2.4900043867535E-3</v>
      </c>
      <c r="C96" s="41">
        <f t="shared" si="16"/>
        <v>9.6870208398713246E-6</v>
      </c>
      <c r="D96" s="45">
        <f t="shared" si="17"/>
        <v>0.12450021933767499</v>
      </c>
      <c r="E96" s="45">
        <f t="shared" si="18"/>
        <v>7.2652656299034934E-4</v>
      </c>
      <c r="F96" s="45">
        <f t="shared" si="14"/>
        <v>-170.36361652798752</v>
      </c>
      <c r="G96" s="37"/>
      <c r="H96" s="37"/>
      <c r="I96" s="37"/>
      <c r="J96" s="37"/>
      <c r="K96" s="37"/>
      <c r="L96" s="37"/>
      <c r="M96" s="37"/>
      <c r="N96" s="37"/>
      <c r="O96" s="37"/>
      <c r="P96" s="37"/>
      <c r="Q96" s="38"/>
    </row>
    <row r="97" spans="1:17" x14ac:dyDescent="0.25">
      <c r="A97" s="44">
        <f t="shared" si="15"/>
        <v>102.00000000000016</v>
      </c>
      <c r="B97" s="41">
        <f t="shared" si="10"/>
        <v>2.1991797990213247E-3</v>
      </c>
      <c r="C97" s="41">
        <f t="shared" si="16"/>
        <v>5.8943067756536089E-6</v>
      </c>
      <c r="D97" s="45">
        <f t="shared" si="17"/>
        <v>0.10995898995106623</v>
      </c>
      <c r="E97" s="45">
        <f t="shared" si="18"/>
        <v>4.4207300817402067E-4</v>
      </c>
      <c r="F97" s="45">
        <f t="shared" si="14"/>
        <v>-247.73491011190899</v>
      </c>
      <c r="G97" s="37"/>
      <c r="H97" s="37"/>
      <c r="I97" s="37"/>
      <c r="J97" s="37"/>
      <c r="K97" s="37"/>
      <c r="L97" s="37"/>
      <c r="M97" s="37"/>
      <c r="N97" s="37"/>
      <c r="O97" s="37"/>
      <c r="P97" s="37"/>
      <c r="Q97" s="38"/>
    </row>
    <row r="98" spans="1:17" x14ac:dyDescent="0.25">
      <c r="A98" s="44">
        <f t="shared" si="15"/>
        <v>103.20000000000016</v>
      </c>
      <c r="B98" s="41">
        <f t="shared" si="10"/>
        <v>1.9353428073727468E-3</v>
      </c>
      <c r="C98" s="41">
        <f t="shared" si="16"/>
        <v>3.5352603001770649E-6</v>
      </c>
      <c r="D98" s="45">
        <f t="shared" si="17"/>
        <v>9.6767140368637344E-2</v>
      </c>
      <c r="E98" s="45">
        <f t="shared" si="18"/>
        <v>2.6514452251327986E-4</v>
      </c>
      <c r="F98" s="45">
        <f t="shared" si="14"/>
        <v>-363.95998277237931</v>
      </c>
      <c r="G98" s="37"/>
      <c r="H98" s="37"/>
      <c r="I98" s="37"/>
      <c r="J98" s="37"/>
      <c r="K98" s="37"/>
      <c r="L98" s="37"/>
      <c r="M98" s="37"/>
      <c r="N98" s="37"/>
      <c r="O98" s="37"/>
      <c r="P98" s="37"/>
      <c r="Q98" s="38"/>
    </row>
    <row r="99" spans="1:17" x14ac:dyDescent="0.25">
      <c r="A99" s="44">
        <f t="shared" si="15"/>
        <v>104.40000000000016</v>
      </c>
      <c r="B99" s="41">
        <f t="shared" si="10"/>
        <v>1.6970381591224291E-3</v>
      </c>
      <c r="C99" s="41">
        <f t="shared" si="16"/>
        <v>2.0900477900448921E-6</v>
      </c>
      <c r="D99" s="45">
        <f t="shared" si="17"/>
        <v>8.485190795612145E-2</v>
      </c>
      <c r="E99" s="45">
        <f t="shared" si="18"/>
        <v>1.5675358425336691E-4</v>
      </c>
      <c r="F99" s="45">
        <f t="shared" si="14"/>
        <v>-540.30760939393906</v>
      </c>
      <c r="G99" s="37"/>
      <c r="H99" s="37"/>
      <c r="I99" s="37"/>
      <c r="J99" s="37"/>
      <c r="K99" s="37"/>
      <c r="L99" s="37"/>
      <c r="M99" s="37"/>
      <c r="N99" s="37"/>
      <c r="O99" s="37"/>
      <c r="P99" s="37"/>
      <c r="Q99" s="38"/>
    </row>
    <row r="100" spans="1:17" x14ac:dyDescent="0.25">
      <c r="A100" s="44">
        <f t="shared" si="15"/>
        <v>105.60000000000016</v>
      </c>
      <c r="B100" s="41">
        <f t="shared" si="10"/>
        <v>1.4827292423670356E-3</v>
      </c>
      <c r="C100" s="41">
        <f t="shared" si="16"/>
        <v>1.217971697026777E-6</v>
      </c>
      <c r="D100" s="45">
        <f t="shared" si="17"/>
        <v>7.4136462118351787E-2</v>
      </c>
      <c r="E100" s="45">
        <f t="shared" si="18"/>
        <v>9.1347877277008272E-5</v>
      </c>
      <c r="F100" s="45">
        <f t="shared" si="14"/>
        <v>-810.58385206408627</v>
      </c>
      <c r="G100" s="37"/>
      <c r="H100" s="37"/>
      <c r="I100" s="37"/>
      <c r="J100" s="37"/>
      <c r="K100" s="37"/>
      <c r="L100" s="37"/>
      <c r="M100" s="37"/>
      <c r="N100" s="37"/>
      <c r="O100" s="37"/>
      <c r="P100" s="37"/>
      <c r="Q100" s="38"/>
    </row>
    <row r="101" spans="1:17" x14ac:dyDescent="0.25">
      <c r="A101" s="44">
        <f t="shared" si="15"/>
        <v>106.80000000000017</v>
      </c>
      <c r="B101" s="41">
        <f t="shared" si="10"/>
        <v>1.2908287735793587E-3</v>
      </c>
      <c r="C101" s="41">
        <f t="shared" si="16"/>
        <v>6.9962341432698453E-7</v>
      </c>
      <c r="D101" s="45">
        <f t="shared" si="17"/>
        <v>6.454143867896793E-2</v>
      </c>
      <c r="E101" s="45">
        <f t="shared" si="18"/>
        <v>5.2471756074523837E-5</v>
      </c>
      <c r="F101" s="45">
        <f t="shared" si="14"/>
        <v>-1229.0224636526732</v>
      </c>
      <c r="G101" s="37"/>
      <c r="H101" s="37"/>
      <c r="I101" s="37"/>
      <c r="J101" s="37"/>
      <c r="K101" s="37"/>
      <c r="L101" s="37"/>
      <c r="M101" s="37"/>
      <c r="N101" s="37"/>
      <c r="O101" s="37"/>
      <c r="P101" s="37"/>
      <c r="Q101" s="38"/>
    </row>
    <row r="102" spans="1:17" x14ac:dyDescent="0.25">
      <c r="A102" s="44">
        <f t="shared" si="15"/>
        <v>108.00000000000017</v>
      </c>
      <c r="B102" s="41">
        <f t="shared" si="10"/>
        <v>1.1197265147421228E-3</v>
      </c>
      <c r="C102" s="41">
        <f t="shared" si="16"/>
        <v>3.9612990910317589E-7</v>
      </c>
      <c r="D102" s="45">
        <f t="shared" si="17"/>
        <v>5.5986325737106137E-2</v>
      </c>
      <c r="E102" s="45">
        <f t="shared" si="18"/>
        <v>2.9709743182738192E-5</v>
      </c>
      <c r="F102" s="45">
        <f t="shared" si="14"/>
        <v>-1883.4432748121174</v>
      </c>
      <c r="G102" s="37"/>
      <c r="H102" s="37"/>
      <c r="I102" s="37"/>
      <c r="J102" s="37"/>
      <c r="K102" s="37"/>
      <c r="L102" s="37"/>
      <c r="M102" s="37"/>
      <c r="N102" s="37"/>
      <c r="O102" s="37"/>
      <c r="P102" s="37"/>
      <c r="Q102" s="38"/>
    </row>
    <row r="103" spans="1:17" x14ac:dyDescent="0.25">
      <c r="A103" s="44">
        <f t="shared" si="15"/>
        <v>109.20000000000017</v>
      </c>
      <c r="B103" s="41">
        <f t="shared" si="10"/>
        <v>9.6781383658682703E-4</v>
      </c>
      <c r="C103" s="41">
        <f t="shared" si="16"/>
        <v>2.2108388745682288E-7</v>
      </c>
      <c r="D103" s="45">
        <f t="shared" si="17"/>
        <v>4.8390691829341352E-2</v>
      </c>
      <c r="E103" s="45">
        <f t="shared" si="18"/>
        <v>1.6581291559261715E-5</v>
      </c>
      <c r="F103" s="45">
        <f t="shared" si="14"/>
        <v>-2917.3909863952695</v>
      </c>
      <c r="G103" s="37"/>
      <c r="H103" s="37"/>
      <c r="I103" s="37"/>
      <c r="J103" s="37"/>
      <c r="K103" s="37"/>
      <c r="L103" s="37"/>
      <c r="M103" s="37"/>
      <c r="N103" s="37"/>
      <c r="O103" s="37"/>
      <c r="P103" s="37"/>
      <c r="Q103" s="38"/>
    </row>
    <row r="104" spans="1:17" x14ac:dyDescent="0.25">
      <c r="A104" s="44">
        <f t="shared" si="15"/>
        <v>110.40000000000018</v>
      </c>
      <c r="B104" s="41">
        <f t="shared" si="10"/>
        <v>8.335050418690344E-4</v>
      </c>
      <c r="C104" s="41">
        <f t="shared" si="16"/>
        <v>1.21624959893121E-7</v>
      </c>
      <c r="D104" s="45">
        <f t="shared" si="17"/>
        <v>4.1675252093451721E-2</v>
      </c>
      <c r="E104" s="45">
        <f t="shared" si="18"/>
        <v>9.1218719919840748E-6</v>
      </c>
      <c r="F104" s="45">
        <f t="shared" si="14"/>
        <v>-4567.7170495348118</v>
      </c>
      <c r="G104" s="37"/>
      <c r="H104" s="37"/>
      <c r="I104" s="37"/>
      <c r="J104" s="37"/>
      <c r="K104" s="37"/>
      <c r="L104" s="37"/>
      <c r="M104" s="37"/>
      <c r="N104" s="37"/>
      <c r="O104" s="37"/>
      <c r="P104" s="37"/>
      <c r="Q104" s="38"/>
    </row>
    <row r="105" spans="1:17" x14ac:dyDescent="0.25">
      <c r="A105" s="44">
        <f t="shared" si="15"/>
        <v>111.60000000000018</v>
      </c>
      <c r="B105" s="41">
        <f t="shared" si="10"/>
        <v>7.1525544970746813E-4</v>
      </c>
      <c r="C105" s="41">
        <f t="shared" si="16"/>
        <v>6.5952989685746183E-8</v>
      </c>
      <c r="D105" s="45">
        <f t="shared" si="17"/>
        <v>3.5762772485373406E-2</v>
      </c>
      <c r="E105" s="45">
        <f t="shared" si="18"/>
        <v>4.9464742264309639E-6</v>
      </c>
      <c r="F105" s="45">
        <f t="shared" si="14"/>
        <v>-7228.9522545328955</v>
      </c>
      <c r="G105" s="37"/>
      <c r="H105" s="37"/>
      <c r="I105" s="37"/>
      <c r="J105" s="37"/>
      <c r="K105" s="37"/>
      <c r="L105" s="37"/>
      <c r="M105" s="37"/>
      <c r="N105" s="37"/>
      <c r="O105" s="37"/>
      <c r="P105" s="37"/>
      <c r="Q105" s="38"/>
    </row>
    <row r="106" spans="1:17" x14ac:dyDescent="0.25">
      <c r="A106" s="44">
        <f t="shared" si="15"/>
        <v>112.80000000000018</v>
      </c>
      <c r="B106" s="41">
        <f t="shared" si="10"/>
        <v>6.1157631756388422E-4</v>
      </c>
      <c r="C106" s="41">
        <f t="shared" si="16"/>
        <v>3.5252703126137062E-8</v>
      </c>
      <c r="D106" s="45">
        <f t="shared" si="17"/>
        <v>3.0578815878194211E-2</v>
      </c>
      <c r="E106" s="45">
        <f t="shared" si="18"/>
        <v>2.6439527344602797E-6</v>
      </c>
      <c r="F106" s="45">
        <f t="shared" si="14"/>
        <v>-11564.568279508741</v>
      </c>
      <c r="G106" s="37"/>
      <c r="H106" s="37"/>
      <c r="I106" s="37"/>
      <c r="J106" s="37"/>
      <c r="K106" s="37"/>
      <c r="L106" s="37"/>
      <c r="M106" s="37"/>
      <c r="N106" s="37"/>
      <c r="O106" s="37"/>
      <c r="P106" s="37"/>
      <c r="Q106" s="38"/>
    </row>
    <row r="107" spans="1:17" x14ac:dyDescent="0.25">
      <c r="A107" s="44">
        <f t="shared" si="15"/>
        <v>114.00000000000018</v>
      </c>
      <c r="B107" s="41">
        <f t="shared" si="10"/>
        <v>5.2104674072111698E-4</v>
      </c>
      <c r="C107" s="41">
        <f t="shared" si="16"/>
        <v>1.8573618445551115E-8</v>
      </c>
      <c r="D107" s="45">
        <f t="shared" si="17"/>
        <v>2.6052337036055848E-2</v>
      </c>
      <c r="E107" s="45">
        <f t="shared" si="18"/>
        <v>1.3930213834163336E-6</v>
      </c>
      <c r="F107" s="45">
        <f t="shared" si="14"/>
        <v>-18701.036699654567</v>
      </c>
      <c r="G107" s="37"/>
      <c r="H107" s="37"/>
      <c r="I107" s="37"/>
      <c r="J107" s="37"/>
      <c r="K107" s="37"/>
      <c r="L107" s="37"/>
      <c r="M107" s="37"/>
      <c r="N107" s="37"/>
      <c r="O107" s="37"/>
      <c r="P107" s="37"/>
      <c r="Q107" s="38"/>
    </row>
    <row r="108" spans="1:17" x14ac:dyDescent="0.25">
      <c r="A108" s="44">
        <f t="shared" si="15"/>
        <v>115.20000000000019</v>
      </c>
      <c r="B108" s="41">
        <f t="shared" si="10"/>
        <v>4.4232271991184952E-4</v>
      </c>
      <c r="C108" s="41">
        <f t="shared" si="16"/>
        <v>9.6459892842723376E-9</v>
      </c>
      <c r="D108" s="45">
        <f t="shared" si="17"/>
        <v>2.2116135995592475E-2</v>
      </c>
      <c r="E108" s="45">
        <f t="shared" si="18"/>
        <v>7.2344919632042534E-7</v>
      </c>
      <c r="F108" s="45">
        <f t="shared" si="14"/>
        <v>-30569.406475089843</v>
      </c>
      <c r="G108" s="37"/>
      <c r="H108" s="37"/>
      <c r="I108" s="37"/>
      <c r="J108" s="37"/>
      <c r="K108" s="37"/>
      <c r="L108" s="37"/>
      <c r="M108" s="37"/>
      <c r="N108" s="37"/>
      <c r="O108" s="37"/>
      <c r="P108" s="37"/>
      <c r="Q108" s="38"/>
    </row>
    <row r="109" spans="1:17" x14ac:dyDescent="0.25">
      <c r="A109" s="44">
        <f t="shared" si="15"/>
        <v>116.40000000000019</v>
      </c>
      <c r="B109" s="41">
        <f t="shared" si="10"/>
        <v>3.7414362628901784E-4</v>
      </c>
      <c r="C109" s="41">
        <f t="shared" si="16"/>
        <v>4.9379102271099053E-9</v>
      </c>
      <c r="D109" s="45">
        <f t="shared" si="17"/>
        <v>1.8707181314450892E-2</v>
      </c>
      <c r="E109" s="45">
        <f t="shared" si="18"/>
        <v>3.7034326703324288E-7</v>
      </c>
      <c r="F109" s="45">
        <f t="shared" si="14"/>
        <v>-50512.086046658689</v>
      </c>
      <c r="G109" s="37"/>
      <c r="H109" s="37"/>
      <c r="I109" s="37"/>
      <c r="J109" s="37"/>
      <c r="K109" s="37"/>
      <c r="L109" s="37"/>
      <c r="M109" s="37"/>
      <c r="N109" s="37"/>
      <c r="O109" s="37"/>
      <c r="P109" s="37"/>
      <c r="Q109" s="38"/>
    </row>
    <row r="110" spans="1:17" x14ac:dyDescent="0.25">
      <c r="A110" s="44">
        <f t="shared" si="15"/>
        <v>117.60000000000019</v>
      </c>
      <c r="B110" s="41">
        <f t="shared" si="10"/>
        <v>3.1533631981328744E-4</v>
      </c>
      <c r="C110" s="41">
        <f t="shared" si="16"/>
        <v>2.4916426972948153E-9</v>
      </c>
      <c r="D110" s="45">
        <f t="shared" si="17"/>
        <v>1.5766815990664373E-2</v>
      </c>
      <c r="E110" s="45">
        <f t="shared" si="18"/>
        <v>1.8687320229711115E-7</v>
      </c>
      <c r="F110" s="45">
        <f t="shared" si="14"/>
        <v>-84370.733329622031</v>
      </c>
      <c r="G110" s="37"/>
      <c r="H110" s="37"/>
      <c r="I110" s="37"/>
      <c r="J110" s="37"/>
      <c r="K110" s="37"/>
      <c r="L110" s="37"/>
      <c r="M110" s="37"/>
      <c r="N110" s="37"/>
      <c r="O110" s="37"/>
      <c r="P110" s="37"/>
      <c r="Q110" s="38"/>
    </row>
    <row r="111" spans="1:17" x14ac:dyDescent="0.25">
      <c r="A111" s="44">
        <f t="shared" si="15"/>
        <v>118.8000000000002</v>
      </c>
      <c r="B111" s="41">
        <f t="shared" si="10"/>
        <v>2.648171932655432E-4</v>
      </c>
      <c r="C111" s="41">
        <f t="shared" si="16"/>
        <v>1.2392944314148675E-9</v>
      </c>
      <c r="D111" s="45">
        <f t="shared" si="17"/>
        <v>1.324085966327716E-2</v>
      </c>
      <c r="E111" s="45">
        <f t="shared" si="18"/>
        <v>9.2947082356115056E-8</v>
      </c>
      <c r="F111" s="45">
        <f t="shared" si="14"/>
        <v>-142454.89347868363</v>
      </c>
      <c r="G111" s="37"/>
      <c r="H111" s="37"/>
      <c r="I111" s="37"/>
      <c r="J111" s="37"/>
      <c r="K111" s="37"/>
      <c r="L111" s="37"/>
      <c r="M111" s="37"/>
      <c r="N111" s="37"/>
      <c r="O111" s="37"/>
      <c r="P111" s="37"/>
      <c r="Q111" s="38"/>
    </row>
    <row r="112" spans="1:17" x14ac:dyDescent="0.25">
      <c r="A112" s="44">
        <f>A111+E$4</f>
        <v>120.0000000000002</v>
      </c>
      <c r="B112" s="41">
        <f>NORMDIST(A112,B$2,B$3,FALSE)</f>
        <v>2.215924205968939E-4</v>
      </c>
      <c r="C112" s="41">
        <f t="shared" si="16"/>
        <v>6.0758828498225726E-10</v>
      </c>
      <c r="D112" s="45">
        <f>B112*B$7</f>
        <v>1.1079621029844696E-2</v>
      </c>
      <c r="E112" s="45">
        <f>C112*C$7</f>
        <v>4.5569121373669298E-8</v>
      </c>
      <c r="F112" s="45">
        <f t="shared" si="14"/>
        <v>-243137.78994925521</v>
      </c>
      <c r="G112" s="37"/>
      <c r="H112" s="37"/>
      <c r="I112" s="37"/>
      <c r="J112" s="37"/>
      <c r="K112" s="37"/>
      <c r="L112" s="37"/>
      <c r="M112" s="37"/>
      <c r="N112" s="37"/>
      <c r="O112" s="37"/>
      <c r="P112" s="37"/>
      <c r="Q112" s="38"/>
    </row>
    <row r="113" spans="1:17" x14ac:dyDescent="0.25">
      <c r="A113" s="37"/>
      <c r="B113" s="37"/>
      <c r="C113" s="37"/>
      <c r="D113" s="37"/>
      <c r="E113" s="37"/>
      <c r="F113" s="37"/>
      <c r="G113" s="37"/>
      <c r="H113" s="37"/>
      <c r="I113" s="37"/>
      <c r="J113" s="37"/>
      <c r="K113" s="37"/>
      <c r="L113" s="37"/>
      <c r="M113" s="37"/>
      <c r="N113" s="37"/>
      <c r="O113" s="37"/>
      <c r="P113" s="37"/>
      <c r="Q113" s="38"/>
    </row>
    <row r="114" spans="1:17" x14ac:dyDescent="0.25">
      <c r="A114" s="37"/>
      <c r="B114" s="37"/>
      <c r="C114" s="37"/>
      <c r="D114" s="37"/>
      <c r="E114" s="37"/>
      <c r="F114" s="37"/>
      <c r="G114" s="37"/>
      <c r="H114" s="37"/>
      <c r="I114" s="37"/>
      <c r="J114" s="37"/>
      <c r="K114" s="37"/>
      <c r="L114" s="37"/>
      <c r="M114" s="37"/>
      <c r="N114" s="37"/>
      <c r="O114" s="37"/>
      <c r="P114" s="37"/>
      <c r="Q114" s="38"/>
    </row>
    <row r="115" spans="1:17" x14ac:dyDescent="0.25">
      <c r="A115" s="38"/>
      <c r="B115" s="38"/>
      <c r="C115" s="38"/>
      <c r="D115" s="38"/>
      <c r="E115" s="38"/>
      <c r="F115" s="38"/>
      <c r="G115" s="38"/>
      <c r="H115" s="38"/>
      <c r="I115" s="38"/>
      <c r="J115" s="38"/>
      <c r="K115" s="38"/>
      <c r="L115" s="38"/>
      <c r="M115" s="38"/>
      <c r="N115" s="38"/>
      <c r="O115" s="38"/>
      <c r="P115" s="38"/>
      <c r="Q115" s="38"/>
    </row>
    <row r="116" spans="1:17" x14ac:dyDescent="0.25">
      <c r="A116" s="38"/>
      <c r="B116" s="38"/>
      <c r="C116" s="38"/>
      <c r="D116" s="38"/>
      <c r="E116" s="38"/>
      <c r="F116" s="38"/>
      <c r="G116" s="38"/>
      <c r="H116" s="38"/>
      <c r="I116" s="38"/>
      <c r="J116" s="38"/>
      <c r="K116" s="38"/>
      <c r="L116" s="38"/>
      <c r="M116" s="38"/>
      <c r="N116" s="38"/>
      <c r="O116" s="38"/>
      <c r="P116" s="38"/>
      <c r="Q116" s="38"/>
    </row>
    <row r="117" spans="1:17" x14ac:dyDescent="0.25">
      <c r="A117" s="38"/>
      <c r="B117" s="38"/>
      <c r="C117" s="38"/>
      <c r="D117" s="38"/>
      <c r="E117" s="38"/>
      <c r="F117" s="38"/>
      <c r="G117" s="38"/>
      <c r="H117" s="38"/>
      <c r="I117" s="38"/>
      <c r="J117" s="38"/>
      <c r="K117" s="38"/>
      <c r="L117" s="38"/>
      <c r="M117" s="38"/>
      <c r="N117" s="38"/>
      <c r="O117" s="38"/>
      <c r="P117" s="38"/>
      <c r="Q117" s="38"/>
    </row>
    <row r="118" spans="1:17" x14ac:dyDescent="0.25">
      <c r="A118" s="38"/>
      <c r="B118" s="38"/>
      <c r="C118" s="38"/>
      <c r="D118" s="38"/>
      <c r="E118" s="38"/>
      <c r="F118" s="38"/>
      <c r="G118" s="38"/>
      <c r="H118" s="38"/>
      <c r="I118" s="38"/>
      <c r="J118" s="38"/>
      <c r="K118" s="38"/>
      <c r="L118" s="38"/>
      <c r="M118" s="38"/>
      <c r="N118" s="38"/>
      <c r="O118" s="38"/>
      <c r="P118" s="38"/>
      <c r="Q118" s="38"/>
    </row>
    <row r="119" spans="1:17" x14ac:dyDescent="0.25">
      <c r="A119" s="38"/>
      <c r="B119" s="38"/>
      <c r="C119" s="38"/>
      <c r="D119" s="38"/>
      <c r="E119" s="38"/>
      <c r="F119" s="38"/>
      <c r="G119" s="38"/>
      <c r="H119" s="38"/>
      <c r="I119" s="38"/>
      <c r="J119" s="38"/>
      <c r="K119" s="38"/>
      <c r="L119" s="38"/>
      <c r="M119" s="38"/>
      <c r="N119" s="38"/>
      <c r="O119" s="38"/>
      <c r="P119" s="38"/>
      <c r="Q119" s="38"/>
    </row>
    <row r="120" spans="1:17" x14ac:dyDescent="0.25">
      <c r="A120" s="38"/>
      <c r="B120" s="38"/>
      <c r="C120" s="38"/>
      <c r="D120" s="38"/>
      <c r="E120" s="38"/>
      <c r="F120" s="38"/>
      <c r="G120" s="38"/>
      <c r="H120" s="38"/>
      <c r="I120" s="38"/>
      <c r="J120" s="38"/>
      <c r="K120" s="38"/>
      <c r="L120" s="38"/>
      <c r="M120" s="38"/>
      <c r="N120" s="38"/>
      <c r="O120" s="38"/>
      <c r="P120" s="38"/>
      <c r="Q120" s="38"/>
    </row>
    <row r="121" spans="1:17" x14ac:dyDescent="0.25">
      <c r="A121" s="38"/>
      <c r="B121" s="38"/>
      <c r="C121" s="38"/>
      <c r="D121" s="38"/>
      <c r="E121" s="38"/>
      <c r="F121" s="38"/>
      <c r="G121" s="38"/>
      <c r="H121" s="38"/>
      <c r="I121" s="38"/>
      <c r="J121" s="38"/>
      <c r="K121" s="38"/>
      <c r="L121" s="38"/>
      <c r="M121" s="38"/>
      <c r="N121" s="38"/>
      <c r="O121" s="38"/>
      <c r="P121" s="38"/>
      <c r="Q121" s="38"/>
    </row>
    <row r="122" spans="1:17" x14ac:dyDescent="0.25">
      <c r="A122" s="38"/>
      <c r="B122" s="38"/>
      <c r="C122" s="38"/>
      <c r="D122" s="38"/>
      <c r="E122" s="38"/>
      <c r="F122" s="38"/>
      <c r="G122" s="38"/>
      <c r="H122" s="38"/>
      <c r="I122" s="38"/>
      <c r="J122" s="38"/>
      <c r="K122" s="38"/>
      <c r="L122" s="38"/>
      <c r="M122" s="38"/>
      <c r="N122" s="38"/>
      <c r="O122" s="38"/>
      <c r="P122" s="38"/>
      <c r="Q122" s="38"/>
    </row>
    <row r="123" spans="1:17" x14ac:dyDescent="0.25">
      <c r="A123" s="38"/>
      <c r="B123" s="38"/>
      <c r="C123" s="38"/>
      <c r="D123" s="38"/>
      <c r="E123" s="38"/>
      <c r="F123" s="38"/>
      <c r="G123" s="38"/>
      <c r="H123" s="38"/>
      <c r="I123" s="38"/>
      <c r="J123" s="38"/>
      <c r="K123" s="38"/>
      <c r="L123" s="38"/>
      <c r="M123" s="38"/>
      <c r="N123" s="38"/>
      <c r="O123" s="38"/>
      <c r="P123" s="38"/>
      <c r="Q123" s="38"/>
    </row>
    <row r="124" spans="1:17" x14ac:dyDescent="0.25">
      <c r="A124" s="38"/>
      <c r="B124" s="38"/>
      <c r="C124" s="38"/>
      <c r="D124" s="38"/>
      <c r="E124" s="38"/>
      <c r="F124" s="38"/>
      <c r="G124" s="38"/>
      <c r="H124" s="38"/>
      <c r="I124" s="38"/>
      <c r="J124" s="38"/>
      <c r="K124" s="38"/>
      <c r="L124" s="38"/>
      <c r="M124" s="38"/>
      <c r="N124" s="38"/>
      <c r="O124" s="38"/>
      <c r="P124" s="38"/>
      <c r="Q124" s="38"/>
    </row>
    <row r="125" spans="1:17" x14ac:dyDescent="0.25">
      <c r="A125" s="38"/>
      <c r="B125" s="38"/>
      <c r="C125" s="38"/>
      <c r="D125" s="38"/>
      <c r="E125" s="38"/>
      <c r="F125" s="38"/>
      <c r="G125" s="38"/>
      <c r="H125" s="38"/>
      <c r="I125" s="38"/>
      <c r="J125" s="38"/>
      <c r="K125" s="38"/>
      <c r="L125" s="38"/>
      <c r="M125" s="38"/>
      <c r="N125" s="38"/>
      <c r="O125" s="38"/>
      <c r="P125" s="38"/>
      <c r="Q125" s="38"/>
    </row>
    <row r="126" spans="1:17" x14ac:dyDescent="0.25">
      <c r="A126" s="38"/>
      <c r="B126" s="38"/>
      <c r="C126" s="38"/>
      <c r="D126" s="38"/>
      <c r="E126" s="38"/>
      <c r="F126" s="38"/>
      <c r="G126" s="38"/>
      <c r="H126" s="38"/>
      <c r="I126" s="38"/>
      <c r="J126" s="38"/>
      <c r="K126" s="38"/>
      <c r="L126" s="38"/>
      <c r="M126" s="38"/>
      <c r="N126" s="38"/>
      <c r="O126" s="38"/>
      <c r="P126" s="38"/>
      <c r="Q126" s="38"/>
    </row>
    <row r="127" spans="1:17" x14ac:dyDescent="0.25">
      <c r="A127" s="38"/>
      <c r="B127" s="38"/>
      <c r="C127" s="38"/>
      <c r="D127" s="38"/>
      <c r="E127" s="38"/>
      <c r="F127" s="38"/>
      <c r="G127" s="38"/>
      <c r="H127" s="38"/>
      <c r="I127" s="38"/>
      <c r="J127" s="38"/>
      <c r="K127" s="38"/>
      <c r="L127" s="38"/>
      <c r="M127" s="38"/>
      <c r="N127" s="38"/>
      <c r="O127" s="38"/>
      <c r="P127" s="38"/>
      <c r="Q127" s="38"/>
    </row>
    <row r="128" spans="1:17" x14ac:dyDescent="0.25">
      <c r="A128" s="38"/>
      <c r="B128" s="38"/>
      <c r="C128" s="38"/>
      <c r="D128" s="38"/>
      <c r="E128" s="38"/>
      <c r="F128" s="38"/>
      <c r="G128" s="38"/>
      <c r="H128" s="38"/>
      <c r="I128" s="38"/>
      <c r="J128" s="38"/>
      <c r="K128" s="38"/>
      <c r="L128" s="38"/>
      <c r="M128" s="38"/>
      <c r="N128" s="38"/>
      <c r="O128" s="38"/>
      <c r="P128" s="38"/>
      <c r="Q128" s="38"/>
    </row>
  </sheetData>
  <sheetProtection password="A2E6" sheet="1" objects="1" scenarios="1"/>
  <scenarios current="0">
    <scenario name="Find cut point" count="1" user="Dale Berger" comment="Created by Dale Berger on 8/31/2002">
      <inputCells r="A9" val="5.22430388063381"/>
    </scenario>
  </scenarios>
  <mergeCells count="2">
    <mergeCell ref="B10:C10"/>
    <mergeCell ref="D10:E10"/>
  </mergeCells>
  <phoneticPr fontId="2" type="noConversion"/>
  <pageMargins left="0.75" right="0.75" top="1" bottom="1" header="0.5" footer="0.5"/>
  <headerFooter alignWithMargins="0"/>
  <customProperties>
    <customPr name="DVSECTION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9"/>
  <sheetViews>
    <sheetView workbookViewId="0">
      <selection activeCell="HR9" sqref="HR9"/>
    </sheetView>
  </sheetViews>
  <sheetFormatPr defaultRowHeight="13.2" x14ac:dyDescent="0.25"/>
  <sheetData>
    <row r="1" spans="1:256" x14ac:dyDescent="0.25">
      <c r="A1">
        <f>IF(UTIL!1:1,"AAAAABcHzwA=",0)</f>
        <v>0</v>
      </c>
      <c r="B1" t="e">
        <f>AND(UTIL!B1,"AAAAABcHzwE=")</f>
        <v>#VALUE!</v>
      </c>
      <c r="C1" t="e">
        <f>AND(UTIL!C1,"AAAAABcHzwI=")</f>
        <v>#VALUE!</v>
      </c>
      <c r="D1" t="e">
        <f>AND(UTIL!D1,"AAAAABcHzwM=")</f>
        <v>#VALUE!</v>
      </c>
      <c r="E1" t="e">
        <f>AND(UTIL!E1,"AAAAABcHzwQ=")</f>
        <v>#VALUE!</v>
      </c>
      <c r="F1" t="e">
        <f>AND(UTIL!F1,"AAAAABcHzwU=")</f>
        <v>#VALUE!</v>
      </c>
      <c r="G1" t="e">
        <f>AND(UTIL!G1,"AAAAABcHzwY=")</f>
        <v>#VALUE!</v>
      </c>
      <c r="H1" t="e">
        <f>AND(UTIL!H1,"AAAAABcHzwc=")</f>
        <v>#VALUE!</v>
      </c>
      <c r="I1" t="e">
        <f>AND(UTIL!I1,"AAAAABcHzwg=")</f>
        <v>#VALUE!</v>
      </c>
      <c r="J1" t="e">
        <f>AND(UTIL!J1,"AAAAABcHzwk=")</f>
        <v>#VALUE!</v>
      </c>
      <c r="K1" t="e">
        <f>AND(UTIL!K1,"AAAAABcHzwo=")</f>
        <v>#VALUE!</v>
      </c>
      <c r="L1" t="e">
        <f>AND(UTIL!L1,"AAAAABcHzws=")</f>
        <v>#VALUE!</v>
      </c>
      <c r="M1" t="e">
        <f>AND(UTIL!M1,"AAAAABcHzww=")</f>
        <v>#VALUE!</v>
      </c>
      <c r="N1" t="e">
        <f>AND(UTIL!N1,"AAAAABcHzw0=")</f>
        <v>#VALUE!</v>
      </c>
      <c r="O1" t="e">
        <f>AND(UTIL!O1,"AAAAABcHzw4=")</f>
        <v>#VALUE!</v>
      </c>
      <c r="P1">
        <f>IF(UTIL!2:2,"AAAAABcHzw8=",0)</f>
        <v>0</v>
      </c>
      <c r="Q1" t="e">
        <f>AND(UTIL!B2,"AAAAABcHzxA=")</f>
        <v>#VALUE!</v>
      </c>
      <c r="R1" t="e">
        <f>AND(UTIL!C2,"AAAAABcHzxE=")</f>
        <v>#VALUE!</v>
      </c>
      <c r="S1" t="e">
        <f>AND(UTIL!D2,"AAAAABcHzxI=")</f>
        <v>#VALUE!</v>
      </c>
      <c r="T1" t="e">
        <f>AND(UTIL!E2,"AAAAABcHzxM=")</f>
        <v>#VALUE!</v>
      </c>
      <c r="U1" t="e">
        <f>AND(UTIL!F2,"AAAAABcHzxQ=")</f>
        <v>#VALUE!</v>
      </c>
      <c r="V1" t="e">
        <f>AND(UTIL!G2,"AAAAABcHzxU=")</f>
        <v>#VALUE!</v>
      </c>
      <c r="W1" t="e">
        <f>AND(UTIL!H2,"AAAAABcHzxY=")</f>
        <v>#VALUE!</v>
      </c>
      <c r="X1" t="e">
        <f>AND(UTIL!I2,"AAAAABcHzxc=")</f>
        <v>#VALUE!</v>
      </c>
      <c r="Y1" t="e">
        <f>AND(UTIL!J2,"AAAAABcHzxg=")</f>
        <v>#VALUE!</v>
      </c>
      <c r="Z1" t="e">
        <f>AND(UTIL!K2,"AAAAABcHzxk=")</f>
        <v>#VALUE!</v>
      </c>
      <c r="AA1" t="e">
        <f>AND(UTIL!L2,"AAAAABcHzxo=")</f>
        <v>#VALUE!</v>
      </c>
      <c r="AB1" t="e">
        <f>AND(UTIL!M2,"AAAAABcHzxs=")</f>
        <v>#VALUE!</v>
      </c>
      <c r="AC1" t="e">
        <f>AND(UTIL!N2,"AAAAABcHzxw=")</f>
        <v>#VALUE!</v>
      </c>
      <c r="AD1" t="e">
        <f>AND(UTIL!O2,"AAAAABcHzx0=")</f>
        <v>#VALUE!</v>
      </c>
      <c r="AE1">
        <f>IF(UTIL!3:3,"AAAAABcHzx4=",0)</f>
        <v>0</v>
      </c>
      <c r="AF1" t="e">
        <f>AND(UTIL!B3,"AAAAABcHzx8=")</f>
        <v>#VALUE!</v>
      </c>
      <c r="AG1" t="e">
        <f>AND(UTIL!C3,"AAAAABcHzyA=")</f>
        <v>#VALUE!</v>
      </c>
      <c r="AH1" t="e">
        <f>AND(UTIL!D3,"AAAAABcHzyE=")</f>
        <v>#VALUE!</v>
      </c>
      <c r="AI1" t="e">
        <f>AND(UTIL!E3,"AAAAABcHzyI=")</f>
        <v>#VALUE!</v>
      </c>
      <c r="AJ1" t="e">
        <f>AND(UTIL!F3,"AAAAABcHzyM=")</f>
        <v>#VALUE!</v>
      </c>
      <c r="AK1" t="e">
        <f>AND(UTIL!G3,"AAAAABcHzyQ=")</f>
        <v>#VALUE!</v>
      </c>
      <c r="AL1" t="e">
        <f>AND(UTIL!H3,"AAAAABcHzyU=")</f>
        <v>#VALUE!</v>
      </c>
      <c r="AM1" t="e">
        <f>AND(UTIL!I3,"AAAAABcHzyY=")</f>
        <v>#VALUE!</v>
      </c>
      <c r="AN1" t="e">
        <f>AND(UTIL!J3,"AAAAABcHzyc=")</f>
        <v>#VALUE!</v>
      </c>
      <c r="AO1" t="e">
        <f>AND(UTIL!K3,"AAAAABcHzyg=")</f>
        <v>#VALUE!</v>
      </c>
      <c r="AP1" t="e">
        <f>AND(UTIL!L3,"AAAAABcHzyk=")</f>
        <v>#VALUE!</v>
      </c>
      <c r="AQ1" t="e">
        <f>AND(UTIL!M3,"AAAAABcHzyo=")</f>
        <v>#VALUE!</v>
      </c>
      <c r="AR1" t="e">
        <f>AND(UTIL!N3,"AAAAABcHzys=")</f>
        <v>#VALUE!</v>
      </c>
      <c r="AS1" t="e">
        <f>AND(UTIL!O3,"AAAAABcHzyw=")</f>
        <v>#VALUE!</v>
      </c>
      <c r="AT1">
        <f>IF(UTIL!4:4,"AAAAABcHzy0=",0)</f>
        <v>0</v>
      </c>
      <c r="AU1" t="e">
        <f>AND(UTIL!B4,"AAAAABcHzy4=")</f>
        <v>#VALUE!</v>
      </c>
      <c r="AV1" t="e">
        <f>AND(UTIL!C4,"AAAAABcHzy8=")</f>
        <v>#VALUE!</v>
      </c>
      <c r="AW1" t="e">
        <f>AND(UTIL!D4,"AAAAABcHzzA=")</f>
        <v>#VALUE!</v>
      </c>
      <c r="AX1" t="e">
        <f>AND(UTIL!E4,"AAAAABcHzzE=")</f>
        <v>#VALUE!</v>
      </c>
      <c r="AY1" t="e">
        <f>AND(UTIL!F4,"AAAAABcHzzI=")</f>
        <v>#VALUE!</v>
      </c>
      <c r="AZ1" t="e">
        <f>AND(UTIL!G4,"AAAAABcHzzM=")</f>
        <v>#VALUE!</v>
      </c>
      <c r="BA1" t="e">
        <f>AND(UTIL!H4,"AAAAABcHzzQ=")</f>
        <v>#VALUE!</v>
      </c>
      <c r="BB1" t="e">
        <f>AND(UTIL!I4,"AAAAABcHzzU=")</f>
        <v>#VALUE!</v>
      </c>
      <c r="BC1" t="e">
        <f>AND(UTIL!J4,"AAAAABcHzzY=")</f>
        <v>#VALUE!</v>
      </c>
      <c r="BD1" t="e">
        <f>AND(UTIL!K4,"AAAAABcHzzc=")</f>
        <v>#VALUE!</v>
      </c>
      <c r="BE1" t="e">
        <f>AND(UTIL!L4,"AAAAABcHzzg=")</f>
        <v>#VALUE!</v>
      </c>
      <c r="BF1" t="e">
        <f>AND(UTIL!M4,"AAAAABcHzzk=")</f>
        <v>#VALUE!</v>
      </c>
      <c r="BG1" t="e">
        <f>AND(UTIL!N4,"AAAAABcHzzo=")</f>
        <v>#VALUE!</v>
      </c>
      <c r="BH1" t="e">
        <f>AND(UTIL!O4,"AAAAABcHzzs=")</f>
        <v>#VALUE!</v>
      </c>
      <c r="BI1">
        <f>IF(UTIL!5:5,"AAAAABcHzzw=",0)</f>
        <v>0</v>
      </c>
      <c r="BJ1" t="e">
        <f>AND(UTIL!B5,"AAAAABcHzz0=")</f>
        <v>#VALUE!</v>
      </c>
      <c r="BK1" t="e">
        <f>AND(UTIL!C5,"AAAAABcHzz4=")</f>
        <v>#VALUE!</v>
      </c>
      <c r="BL1" t="e">
        <f>AND(UTIL!D5,"AAAAABcHzz8=")</f>
        <v>#VALUE!</v>
      </c>
      <c r="BM1" t="e">
        <f>AND(UTIL!E5,"AAAAABcHz0A=")</f>
        <v>#VALUE!</v>
      </c>
      <c r="BN1" t="e">
        <f>AND(UTIL!F5,"AAAAABcHz0E=")</f>
        <v>#VALUE!</v>
      </c>
      <c r="BO1" t="e">
        <f>AND(UTIL!G5,"AAAAABcHz0I=")</f>
        <v>#VALUE!</v>
      </c>
      <c r="BP1" t="e">
        <f>AND(UTIL!H5,"AAAAABcHz0M=")</f>
        <v>#VALUE!</v>
      </c>
      <c r="BQ1" t="e">
        <f>AND(UTIL!I5,"AAAAABcHz0Q=")</f>
        <v>#VALUE!</v>
      </c>
      <c r="BR1" t="e">
        <f>AND(UTIL!J5,"AAAAABcHz0U=")</f>
        <v>#VALUE!</v>
      </c>
      <c r="BS1" t="e">
        <f>AND(UTIL!K5,"AAAAABcHz0Y=")</f>
        <v>#VALUE!</v>
      </c>
      <c r="BT1" t="e">
        <f>AND(UTIL!L5,"AAAAABcHz0c=")</f>
        <v>#VALUE!</v>
      </c>
      <c r="BU1" t="e">
        <f>AND(UTIL!M5,"AAAAABcHz0g=")</f>
        <v>#VALUE!</v>
      </c>
      <c r="BV1" t="e">
        <f>AND(UTIL!N5,"AAAAABcHz0k=")</f>
        <v>#VALUE!</v>
      </c>
      <c r="BW1" t="e">
        <f>AND(UTIL!O5,"AAAAABcHz0o=")</f>
        <v>#VALUE!</v>
      </c>
      <c r="BX1">
        <f>IF(UTIL!6:6,"AAAAABcHz0s=",0)</f>
        <v>0</v>
      </c>
      <c r="BY1" t="e">
        <f>AND(UTIL!B6,"AAAAABcHz0w=")</f>
        <v>#VALUE!</v>
      </c>
      <c r="BZ1" t="e">
        <f>AND(UTIL!C6,"AAAAABcHz00=")</f>
        <v>#VALUE!</v>
      </c>
      <c r="CA1" t="e">
        <f>AND(UTIL!D6,"AAAAABcHz04=")</f>
        <v>#VALUE!</v>
      </c>
      <c r="CB1" t="e">
        <f>AND(UTIL!E6,"AAAAABcHz08=")</f>
        <v>#VALUE!</v>
      </c>
      <c r="CC1" t="e">
        <f>AND(UTIL!F6,"AAAAABcHz1A=")</f>
        <v>#VALUE!</v>
      </c>
      <c r="CD1" t="e">
        <f>AND(UTIL!G6,"AAAAABcHz1E=")</f>
        <v>#VALUE!</v>
      </c>
      <c r="CE1" t="e">
        <f>AND(UTIL!H6,"AAAAABcHz1I=")</f>
        <v>#VALUE!</v>
      </c>
      <c r="CF1" t="e">
        <f>AND(UTIL!I6,"AAAAABcHz1M=")</f>
        <v>#VALUE!</v>
      </c>
      <c r="CG1" t="e">
        <f>AND(UTIL!J6,"AAAAABcHz1Q=")</f>
        <v>#VALUE!</v>
      </c>
      <c r="CH1" t="e">
        <f>AND(UTIL!K6,"AAAAABcHz1U=")</f>
        <v>#VALUE!</v>
      </c>
      <c r="CI1" t="e">
        <f>AND(UTIL!L6,"AAAAABcHz1Y=")</f>
        <v>#VALUE!</v>
      </c>
      <c r="CJ1" t="e">
        <f>AND(UTIL!M6,"AAAAABcHz1c=")</f>
        <v>#VALUE!</v>
      </c>
      <c r="CK1" t="e">
        <f>AND(UTIL!N6,"AAAAABcHz1g=")</f>
        <v>#VALUE!</v>
      </c>
      <c r="CL1" t="e">
        <f>AND(UTIL!O6,"AAAAABcHz1k=")</f>
        <v>#VALUE!</v>
      </c>
      <c r="CM1">
        <f>IF(UTIL!7:7,"AAAAABcHz1o=",0)</f>
        <v>0</v>
      </c>
      <c r="CN1" t="e">
        <f>AND(UTIL!B7,"AAAAABcHz1s=")</f>
        <v>#VALUE!</v>
      </c>
      <c r="CO1" t="e">
        <f>AND(UTIL!C7,"AAAAABcHz1w=")</f>
        <v>#VALUE!</v>
      </c>
      <c r="CP1" t="e">
        <f>AND(UTIL!D7,"AAAAABcHz10=")</f>
        <v>#VALUE!</v>
      </c>
      <c r="CQ1" t="e">
        <f>AND(UTIL!E7,"AAAAABcHz14=")</f>
        <v>#VALUE!</v>
      </c>
      <c r="CR1" t="e">
        <f>AND(UTIL!F7,"AAAAABcHz18=")</f>
        <v>#VALUE!</v>
      </c>
      <c r="CS1" t="e">
        <f>AND(UTIL!G7,"AAAAABcHz2A=")</f>
        <v>#VALUE!</v>
      </c>
      <c r="CT1" t="e">
        <f>AND(UTIL!H7,"AAAAABcHz2E=")</f>
        <v>#VALUE!</v>
      </c>
      <c r="CU1" t="e">
        <f>AND(UTIL!I7,"AAAAABcHz2I=")</f>
        <v>#VALUE!</v>
      </c>
      <c r="CV1" t="e">
        <f>AND(UTIL!J7,"AAAAABcHz2M=")</f>
        <v>#VALUE!</v>
      </c>
      <c r="CW1" t="e">
        <f>AND(UTIL!K7,"AAAAABcHz2Q=")</f>
        <v>#VALUE!</v>
      </c>
      <c r="CX1" t="e">
        <f>AND(UTIL!L7,"AAAAABcHz2U=")</f>
        <v>#VALUE!</v>
      </c>
      <c r="CY1" t="e">
        <f>AND(UTIL!M7,"AAAAABcHz2Y=")</f>
        <v>#VALUE!</v>
      </c>
      <c r="CZ1" t="e">
        <f>AND(UTIL!N7,"AAAAABcHz2c=")</f>
        <v>#VALUE!</v>
      </c>
      <c r="DA1" t="e">
        <f>AND(UTIL!O7,"AAAAABcHz2g=")</f>
        <v>#VALUE!</v>
      </c>
      <c r="DB1">
        <f>IF(UTIL!8:8,"AAAAABcHz2k=",0)</f>
        <v>0</v>
      </c>
      <c r="DC1" t="e">
        <f>AND(UTIL!B8,"AAAAABcHz2o=")</f>
        <v>#VALUE!</v>
      </c>
      <c r="DD1" t="e">
        <f>AND(UTIL!C8,"AAAAABcHz2s=")</f>
        <v>#VALUE!</v>
      </c>
      <c r="DE1" t="e">
        <f>AND(UTIL!D8,"AAAAABcHz2w=")</f>
        <v>#VALUE!</v>
      </c>
      <c r="DF1" t="e">
        <f>AND(UTIL!E8,"AAAAABcHz20=")</f>
        <v>#VALUE!</v>
      </c>
      <c r="DG1" t="e">
        <f>AND(UTIL!F8,"AAAAABcHz24=")</f>
        <v>#VALUE!</v>
      </c>
      <c r="DH1" t="e">
        <f>AND(UTIL!G8,"AAAAABcHz28=")</f>
        <v>#VALUE!</v>
      </c>
      <c r="DI1" t="e">
        <f>AND(UTIL!H8,"AAAAABcHz3A=")</f>
        <v>#VALUE!</v>
      </c>
      <c r="DJ1" t="e">
        <f>AND(UTIL!I8,"AAAAABcHz3E=")</f>
        <v>#VALUE!</v>
      </c>
      <c r="DK1" t="e">
        <f>AND(UTIL!J8,"AAAAABcHz3I=")</f>
        <v>#VALUE!</v>
      </c>
      <c r="DL1" t="e">
        <f>AND(UTIL!K8,"AAAAABcHz3M=")</f>
        <v>#VALUE!</v>
      </c>
      <c r="DM1" t="e">
        <f>AND(UTIL!L8,"AAAAABcHz3Q=")</f>
        <v>#VALUE!</v>
      </c>
      <c r="DN1" t="e">
        <f>AND(UTIL!M8,"AAAAABcHz3U=")</f>
        <v>#VALUE!</v>
      </c>
      <c r="DO1" t="e">
        <f>AND(UTIL!N8,"AAAAABcHz3Y=")</f>
        <v>#VALUE!</v>
      </c>
      <c r="DP1" t="e">
        <f>AND(UTIL!O8,"AAAAABcHz3c=")</f>
        <v>#VALUE!</v>
      </c>
      <c r="DQ1">
        <f>IF(UTIL!9:9,"AAAAABcHz3g=",0)</f>
        <v>0</v>
      </c>
      <c r="DR1" t="e">
        <f>AND(UTIL!B9,"AAAAABcHz3k=")</f>
        <v>#VALUE!</v>
      </c>
      <c r="DS1" t="e">
        <f>AND(UTIL!C9,"AAAAABcHz3o=")</f>
        <v>#VALUE!</v>
      </c>
      <c r="DT1" t="e">
        <f>AND(UTIL!D9,"AAAAABcHz3s=")</f>
        <v>#VALUE!</v>
      </c>
      <c r="DU1" t="e">
        <f>AND(UTIL!E9,"AAAAABcHz3w=")</f>
        <v>#VALUE!</v>
      </c>
      <c r="DV1" t="e">
        <f>AND(UTIL!F9,"AAAAABcHz30=")</f>
        <v>#VALUE!</v>
      </c>
      <c r="DW1" t="e">
        <f>AND(UTIL!G9,"AAAAABcHz34=")</f>
        <v>#VALUE!</v>
      </c>
      <c r="DX1" t="e">
        <f>AND(UTIL!H9,"AAAAABcHz38=")</f>
        <v>#VALUE!</v>
      </c>
      <c r="DY1" t="e">
        <f>AND(UTIL!I9,"AAAAABcHz4A=")</f>
        <v>#VALUE!</v>
      </c>
      <c r="DZ1" t="e">
        <f>AND(UTIL!J9,"AAAAABcHz4E=")</f>
        <v>#VALUE!</v>
      </c>
      <c r="EA1" t="e">
        <f>AND(UTIL!K9,"AAAAABcHz4I=")</f>
        <v>#VALUE!</v>
      </c>
      <c r="EB1" t="e">
        <f>AND(UTIL!L9,"AAAAABcHz4M=")</f>
        <v>#VALUE!</v>
      </c>
      <c r="EC1" t="e">
        <f>AND(UTIL!M9,"AAAAABcHz4Q=")</f>
        <v>#VALUE!</v>
      </c>
      <c r="ED1" t="e">
        <f>AND(UTIL!N9,"AAAAABcHz4U=")</f>
        <v>#VALUE!</v>
      </c>
      <c r="EE1" t="e">
        <f>AND(UTIL!O9,"AAAAABcHz4Y=")</f>
        <v>#VALUE!</v>
      </c>
      <c r="EF1">
        <f>IF(UTIL!10:10,"AAAAABcHz4c=",0)</f>
        <v>0</v>
      </c>
      <c r="EG1" t="e">
        <f>AND(UTIL!B10,"AAAAABcHz4g=")</f>
        <v>#VALUE!</v>
      </c>
      <c r="EH1" t="e">
        <f>AND(UTIL!C10,"AAAAABcHz4k=")</f>
        <v>#VALUE!</v>
      </c>
      <c r="EI1" t="e">
        <f>AND(UTIL!D10,"AAAAABcHz4o=")</f>
        <v>#VALUE!</v>
      </c>
      <c r="EJ1" t="e">
        <f>AND(UTIL!E10,"AAAAABcHz4s=")</f>
        <v>#VALUE!</v>
      </c>
      <c r="EK1" t="e">
        <f>AND(UTIL!F10,"AAAAABcHz4w=")</f>
        <v>#VALUE!</v>
      </c>
      <c r="EL1" t="e">
        <f>AND(UTIL!G10,"AAAAABcHz40=")</f>
        <v>#VALUE!</v>
      </c>
      <c r="EM1" t="e">
        <f>AND(UTIL!H10,"AAAAABcHz44=")</f>
        <v>#VALUE!</v>
      </c>
      <c r="EN1" t="e">
        <f>AND(UTIL!I10,"AAAAABcHz48=")</f>
        <v>#VALUE!</v>
      </c>
      <c r="EO1" t="e">
        <f>AND(UTIL!J10,"AAAAABcHz5A=")</f>
        <v>#VALUE!</v>
      </c>
      <c r="EP1" t="e">
        <f>AND(UTIL!K10,"AAAAABcHz5E=")</f>
        <v>#VALUE!</v>
      </c>
      <c r="EQ1" t="e">
        <f>AND(UTIL!L10,"AAAAABcHz5I=")</f>
        <v>#VALUE!</v>
      </c>
      <c r="ER1" t="e">
        <f>AND(UTIL!M10,"AAAAABcHz5M=")</f>
        <v>#VALUE!</v>
      </c>
      <c r="ES1" t="e">
        <f>AND(UTIL!N10,"AAAAABcHz5Q=")</f>
        <v>#VALUE!</v>
      </c>
      <c r="ET1" t="e">
        <f>AND(UTIL!O10,"AAAAABcHz5U=")</f>
        <v>#VALUE!</v>
      </c>
      <c r="EU1">
        <f>IF(UTIL!11:11,"AAAAABcHz5Y=",0)</f>
        <v>0</v>
      </c>
      <c r="EV1">
        <f>IF(UTIL!12:12,"AAAAABcHz5c=",0)</f>
        <v>0</v>
      </c>
      <c r="EW1">
        <f>IF(UTIL!13:13,"AAAAABcHz5g=",0)</f>
        <v>0</v>
      </c>
      <c r="EX1">
        <f>IF(UTIL!14:14,"AAAAABcHz5k=",0)</f>
        <v>0</v>
      </c>
      <c r="EY1">
        <f>IF(UTIL!15:15,"AAAAABcHz5o=",0)</f>
        <v>0</v>
      </c>
      <c r="EZ1">
        <f>IF(UTIL!16:16,"AAAAABcHz5s=",0)</f>
        <v>0</v>
      </c>
      <c r="FA1">
        <f>IF(UTIL!17:17,"AAAAABcHz5w=",0)</f>
        <v>0</v>
      </c>
      <c r="FB1">
        <f>IF(UTIL!18:18,"AAAAABcHz50=",0)</f>
        <v>0</v>
      </c>
      <c r="FC1">
        <f>IF(UTIL!19:19,"AAAAABcHz54=",0)</f>
        <v>0</v>
      </c>
      <c r="FD1">
        <f>IF(UTIL!20:20,"AAAAABcHz58=",0)</f>
        <v>0</v>
      </c>
      <c r="FE1">
        <f>IF(UTIL!21:21,"AAAAABcHz6A=",0)</f>
        <v>0</v>
      </c>
      <c r="FF1">
        <f>IF(UTIL!22:22,"AAAAABcHz6E=",0)</f>
        <v>0</v>
      </c>
      <c r="FG1">
        <f>IF(UTIL!23:23,"AAAAABcHz6I=",0)</f>
        <v>0</v>
      </c>
      <c r="FH1">
        <f>IF(UTIL!24:24,"AAAAABcHz6M=",0)</f>
        <v>0</v>
      </c>
      <c r="FI1">
        <f>IF(UTIL!25:25,"AAAAABcHz6Q=",0)</f>
        <v>0</v>
      </c>
      <c r="FJ1">
        <f>IF(UTIL!A:A,"AAAAABcHz6U=",0)</f>
        <v>0</v>
      </c>
      <c r="FK1">
        <f>IF(UTIL!B:B,"AAAAABcHz6Y=",0)</f>
        <v>0</v>
      </c>
      <c r="FL1">
        <f>IF(UTIL!C:C,"AAAAABcHz6c=",0)</f>
        <v>0</v>
      </c>
      <c r="FM1">
        <f>IF(UTIL!D:D,"AAAAABcHz6g=",0)</f>
        <v>0</v>
      </c>
      <c r="FN1">
        <f>IF(UTIL!E:E,"AAAAABcHz6k=",0)</f>
        <v>0</v>
      </c>
      <c r="FO1">
        <f>IF(UTIL!F:F,"AAAAABcHz6o=",0)</f>
        <v>0</v>
      </c>
      <c r="FP1">
        <f>IF(UTIL!G:G,"AAAAABcHz6s=",0)</f>
        <v>0</v>
      </c>
      <c r="FQ1">
        <f>IF(UTIL!H:H,"AAAAABcHz6w=",0)</f>
        <v>0</v>
      </c>
      <c r="FR1">
        <f>IF(UTIL!I:I,"AAAAABcHz60=",0)</f>
        <v>0</v>
      </c>
      <c r="FS1">
        <f>IF(UTIL!J:J,"AAAAABcHz64=",0)</f>
        <v>0</v>
      </c>
      <c r="FT1">
        <f>IF(UTIL!K:K,"AAAAABcHz68=",0)</f>
        <v>0</v>
      </c>
      <c r="FU1">
        <f>IF(UTIL!L:L,"AAAAABcHz7A=",0)</f>
        <v>0</v>
      </c>
      <c r="FV1">
        <f>IF(UTIL!M:M,"AAAAABcHz7E=",0)</f>
        <v>0</v>
      </c>
      <c r="FW1">
        <f>IF(UTIL!N:N,"AAAAABcHz7I=",0)</f>
        <v>0</v>
      </c>
      <c r="FX1">
        <f>IF(UTIL!O:O,"AAAAABcHz7M=",0)</f>
        <v>0</v>
      </c>
      <c r="FY1">
        <f>IF(HELP!1:1,"AAAAABcHz7Q=",0)</f>
        <v>0</v>
      </c>
      <c r="FZ1" t="e">
        <f>AND(HELP!B1,"AAAAABcHz7U=")</f>
        <v>#VALUE!</v>
      </c>
      <c r="GA1" t="e">
        <f>AND(HELP!C1,"AAAAABcHz7Y=")</f>
        <v>#VALUE!</v>
      </c>
      <c r="GB1" t="e">
        <f>AND(HELP!D1,"AAAAABcHz7c=")</f>
        <v>#VALUE!</v>
      </c>
      <c r="GC1">
        <f>IF(HELP!2:2,"AAAAABcHz7g=",0)</f>
        <v>0</v>
      </c>
      <c r="GD1" t="e">
        <f>AND(HELP!B2,"AAAAABcHz7k=")</f>
        <v>#VALUE!</v>
      </c>
      <c r="GE1" t="e">
        <f>AND(HELP!C2,"AAAAABcHz7o=")</f>
        <v>#VALUE!</v>
      </c>
      <c r="GF1" t="e">
        <f>AND(HELP!D2,"AAAAABcHz7s=")</f>
        <v>#VALUE!</v>
      </c>
      <c r="GG1">
        <f>IF(HELP!3:3,"AAAAABcHz7w=",0)</f>
        <v>0</v>
      </c>
      <c r="GH1" t="e">
        <f>AND(HELP!B3,"AAAAABcHz70=")</f>
        <v>#VALUE!</v>
      </c>
      <c r="GI1" t="e">
        <f>AND(HELP!C3,"AAAAABcHz74=")</f>
        <v>#VALUE!</v>
      </c>
      <c r="GJ1" t="e">
        <f>AND(HELP!D3,"AAAAABcHz78=")</f>
        <v>#VALUE!</v>
      </c>
      <c r="GK1">
        <f>IF(HELP!4:4,"AAAAABcHz8A=",0)</f>
        <v>0</v>
      </c>
      <c r="GL1" t="e">
        <f>AND(HELP!B4,"AAAAABcHz8E=")</f>
        <v>#VALUE!</v>
      </c>
      <c r="GM1" t="e">
        <f>AND(HELP!C4,"AAAAABcHz8I=")</f>
        <v>#VALUE!</v>
      </c>
      <c r="GN1" t="e">
        <f>AND(HELP!D4,"AAAAABcHz8M=")</f>
        <v>#VALUE!</v>
      </c>
      <c r="GO1">
        <f>IF(HELP!5:5,"AAAAABcHz8Q=",0)</f>
        <v>0</v>
      </c>
      <c r="GP1" t="e">
        <f>AND(HELP!B5,"AAAAABcHz8U=")</f>
        <v>#VALUE!</v>
      </c>
      <c r="GQ1">
        <f>IF(HELP!6:6,"AAAAABcHz8Y=",0)</f>
        <v>0</v>
      </c>
      <c r="GR1" t="e">
        <f>AND(HELP!B6,"AAAAABcHz8c=")</f>
        <v>#VALUE!</v>
      </c>
      <c r="GS1">
        <f>IF(HELP!7:7,"AAAAABcHz8g=",0)</f>
        <v>0</v>
      </c>
      <c r="GT1" t="e">
        <f>AND(HELP!B7,"AAAAABcHz8k=")</f>
        <v>#VALUE!</v>
      </c>
      <c r="GU1">
        <f>IF(HELP!8:8,"AAAAABcHz8o=",0)</f>
        <v>0</v>
      </c>
      <c r="GV1" t="e">
        <f>AND(HELP!B8,"AAAAABcHz8s=")</f>
        <v>#VALUE!</v>
      </c>
      <c r="GW1">
        <f>IF(HELP!9:9,"AAAAABcHz8w=",0)</f>
        <v>0</v>
      </c>
      <c r="GX1" t="e">
        <f>AND(HELP!B9,"AAAAABcHz80=")</f>
        <v>#VALUE!</v>
      </c>
      <c r="GY1">
        <f>IF(HELP!10:10,"AAAAABcHz84=",0)</f>
        <v>0</v>
      </c>
      <c r="GZ1" t="e">
        <f>AND(HELP!B10,"AAAAABcHz88=")</f>
        <v>#VALUE!</v>
      </c>
      <c r="HA1">
        <f>IF(HELP!11:11,"AAAAABcHz9A=",0)</f>
        <v>0</v>
      </c>
      <c r="HB1" t="e">
        <f>AND(HELP!B11,"AAAAABcHz9E=")</f>
        <v>#VALUE!</v>
      </c>
      <c r="HC1">
        <f>IF(HELP!12:12,"AAAAABcHz9I=",0)</f>
        <v>0</v>
      </c>
      <c r="HD1" t="e">
        <f>AND(HELP!B12,"AAAAABcHz9M=")</f>
        <v>#VALUE!</v>
      </c>
      <c r="HE1">
        <f>IF(HELP!13:13,"AAAAABcHz9Q=",0)</f>
        <v>0</v>
      </c>
      <c r="HF1" t="e">
        <f>AND(HELP!B13,"AAAAABcHz9U=")</f>
        <v>#VALUE!</v>
      </c>
      <c r="HG1">
        <f>IF(HELP!14:14,"AAAAABcHz9Y=",0)</f>
        <v>0</v>
      </c>
      <c r="HH1" t="e">
        <f>AND(HELP!B14,"AAAAABcHz9c=")</f>
        <v>#VALUE!</v>
      </c>
      <c r="HI1">
        <f>IF(HELP!15:15,"AAAAABcHz9g=",0)</f>
        <v>0</v>
      </c>
      <c r="HJ1" t="e">
        <f>AND(HELP!B15,"AAAAABcHz9k=")</f>
        <v>#VALUE!</v>
      </c>
      <c r="HK1">
        <f>IF(HELP!16:16,"AAAAABcHz9o=",0)</f>
        <v>0</v>
      </c>
      <c r="HL1" t="e">
        <f>AND(HELP!B16,"AAAAABcHz9s=")</f>
        <v>#VALUE!</v>
      </c>
      <c r="HM1">
        <f>IF(HELP!A:A,"AAAAABcHz9w=",0)</f>
        <v>0</v>
      </c>
      <c r="HN1">
        <f>IF(HELP!B:B,"AAAAABcHz90=",0)</f>
        <v>0</v>
      </c>
      <c r="HO1">
        <f>IF(HELP!C:C,"AAAAABcHz94=",0)</f>
        <v>0</v>
      </c>
      <c r="HP1">
        <f>IF(HELP!D:D,"AAAAABcHz98=",0)</f>
        <v>0</v>
      </c>
      <c r="HQ1">
        <f>IF(Calculations!1:1,"AAAAABcHz+A=",0)</f>
        <v>0</v>
      </c>
      <c r="HR1" t="e">
        <f>AND(Calculations!A1,"AAAAABcHz+E=")</f>
        <v>#VALUE!</v>
      </c>
      <c r="HS1" t="e">
        <f>AND(Calculations!B1,"AAAAABcHz+I=")</f>
        <v>#VALUE!</v>
      </c>
      <c r="HT1" t="e">
        <f>AND(Calculations!C1,"AAAAABcHz+M=")</f>
        <v>#VALUE!</v>
      </c>
      <c r="HU1" t="e">
        <f>AND(Calculations!D1,"AAAAABcHz+Q=")</f>
        <v>#VALUE!</v>
      </c>
      <c r="HV1" t="e">
        <f>AND(Calculations!E1,"AAAAABcHz+U=")</f>
        <v>#VALUE!</v>
      </c>
      <c r="HW1" t="e">
        <f>AND(Calculations!F1,"AAAAABcHz+Y=")</f>
        <v>#VALUE!</v>
      </c>
      <c r="HX1" t="e">
        <f>AND(Calculations!G1,"AAAAABcHz+c=")</f>
        <v>#VALUE!</v>
      </c>
      <c r="HY1" t="e">
        <f>AND(Calculations!H1,"AAAAABcHz+g=")</f>
        <v>#VALUE!</v>
      </c>
      <c r="HZ1" t="e">
        <f>AND(Calculations!I1,"AAAAABcHz+k=")</f>
        <v>#VALUE!</v>
      </c>
      <c r="IA1" t="e">
        <f>AND(Calculations!J1,"AAAAABcHz+o=")</f>
        <v>#VALUE!</v>
      </c>
      <c r="IB1" t="e">
        <f>AND(Calculations!K1,"AAAAABcHz+s=")</f>
        <v>#VALUE!</v>
      </c>
      <c r="IC1" t="e">
        <f>AND(Calculations!L1,"AAAAABcHz+w=")</f>
        <v>#VALUE!</v>
      </c>
      <c r="ID1" t="e">
        <f>AND(Calculations!M1,"AAAAABcHz+0=")</f>
        <v>#VALUE!</v>
      </c>
      <c r="IE1" t="e">
        <f>AND(Calculations!N1,"AAAAABcHz+4=")</f>
        <v>#VALUE!</v>
      </c>
      <c r="IF1" t="e">
        <f>AND(Calculations!O1,"AAAAABcHz+8=")</f>
        <v>#VALUE!</v>
      </c>
      <c r="IG1" t="e">
        <f>AND(Calculations!P1,"AAAAABcHz/A=")</f>
        <v>#VALUE!</v>
      </c>
      <c r="IH1" t="e">
        <f>AND(Calculations!Q1,"AAAAABcHz/E=")</f>
        <v>#VALUE!</v>
      </c>
      <c r="II1">
        <f>IF(Calculations!2:2,"AAAAABcHz/I=",0)</f>
        <v>0</v>
      </c>
      <c r="IJ1" t="e">
        <f>AND(Calculations!A2,"AAAAABcHz/M=")</f>
        <v>#VALUE!</v>
      </c>
      <c r="IK1" t="e">
        <f>AND(Calculations!B2,"AAAAABcHz/Q=")</f>
        <v>#VALUE!</v>
      </c>
      <c r="IL1" t="e">
        <f>AND(Calculations!C2,"AAAAABcHz/U=")</f>
        <v>#VALUE!</v>
      </c>
      <c r="IM1" t="e">
        <f>AND(Calculations!D2,"AAAAABcHz/Y=")</f>
        <v>#VALUE!</v>
      </c>
      <c r="IN1" t="e">
        <f>AND(Calculations!E2,"AAAAABcHz/c=")</f>
        <v>#VALUE!</v>
      </c>
      <c r="IO1" t="e">
        <f>AND(Calculations!F2,"AAAAABcHz/g=")</f>
        <v>#VALUE!</v>
      </c>
      <c r="IP1" t="e">
        <f>AND(Calculations!G2,"AAAAABcHz/k=")</f>
        <v>#VALUE!</v>
      </c>
      <c r="IQ1" t="e">
        <f>AND(Calculations!H2,"AAAAABcHz/o=")</f>
        <v>#VALUE!</v>
      </c>
      <c r="IR1" t="e">
        <f>AND(Calculations!I2,"AAAAABcHz/s=")</f>
        <v>#VALUE!</v>
      </c>
      <c r="IS1" t="e">
        <f>AND(Calculations!J2,"AAAAABcHz/w=")</f>
        <v>#VALUE!</v>
      </c>
      <c r="IT1" t="e">
        <f>AND(Calculations!K2,"AAAAABcHz/0=")</f>
        <v>#VALUE!</v>
      </c>
      <c r="IU1" t="e">
        <f>AND(Calculations!L2,"AAAAABcHz/4=")</f>
        <v>#VALUE!</v>
      </c>
      <c r="IV1" t="e">
        <f>AND(Calculations!M2,"AAAAABcHz/8=")</f>
        <v>#VALUE!</v>
      </c>
    </row>
    <row r="2" spans="1:256" x14ac:dyDescent="0.25">
      <c r="A2" t="e">
        <f>AND(Calculations!N2,"AAAAAHP6zQA=")</f>
        <v>#VALUE!</v>
      </c>
      <c r="B2" t="e">
        <f>AND(Calculations!O2,"AAAAAHP6zQE=")</f>
        <v>#VALUE!</v>
      </c>
      <c r="C2" t="e">
        <f>AND(Calculations!P2,"AAAAAHP6zQI=")</f>
        <v>#VALUE!</v>
      </c>
      <c r="D2" t="e">
        <f>AND(Calculations!Q2,"AAAAAHP6zQM=")</f>
        <v>#VALUE!</v>
      </c>
      <c r="E2">
        <f>IF(Calculations!3:3,"AAAAAHP6zQQ=",0)</f>
        <v>0</v>
      </c>
      <c r="F2" t="e">
        <f>AND(Calculations!A3,"AAAAAHP6zQU=")</f>
        <v>#VALUE!</v>
      </c>
      <c r="G2" t="e">
        <f>AND(Calculations!B3,"AAAAAHP6zQY=")</f>
        <v>#VALUE!</v>
      </c>
      <c r="H2" t="e">
        <f>AND(Calculations!C3,"AAAAAHP6zQc=")</f>
        <v>#VALUE!</v>
      </c>
      <c r="I2" t="e">
        <f>AND(Calculations!D3,"AAAAAHP6zQg=")</f>
        <v>#VALUE!</v>
      </c>
      <c r="J2" t="e">
        <f>AND(Calculations!E3,"AAAAAHP6zQk=")</f>
        <v>#VALUE!</v>
      </c>
      <c r="K2" t="e">
        <f>AND(Calculations!F3,"AAAAAHP6zQo=")</f>
        <v>#VALUE!</v>
      </c>
      <c r="L2" t="e">
        <f>AND(Calculations!G3,"AAAAAHP6zQs=")</f>
        <v>#VALUE!</v>
      </c>
      <c r="M2" t="e">
        <f>AND(Calculations!H3,"AAAAAHP6zQw=")</f>
        <v>#VALUE!</v>
      </c>
      <c r="N2" t="e">
        <f>AND(Calculations!I3,"AAAAAHP6zQ0=")</f>
        <v>#VALUE!</v>
      </c>
      <c r="O2" t="e">
        <f>AND(Calculations!J3,"AAAAAHP6zQ4=")</f>
        <v>#VALUE!</v>
      </c>
      <c r="P2" t="e">
        <f>AND(Calculations!K3,"AAAAAHP6zQ8=")</f>
        <v>#VALUE!</v>
      </c>
      <c r="Q2" t="e">
        <f>AND(Calculations!L3,"AAAAAHP6zRA=")</f>
        <v>#VALUE!</v>
      </c>
      <c r="R2" t="e">
        <f>AND(Calculations!M3,"AAAAAHP6zRE=")</f>
        <v>#VALUE!</v>
      </c>
      <c r="S2" t="e">
        <f>AND(Calculations!N3,"AAAAAHP6zRI=")</f>
        <v>#VALUE!</v>
      </c>
      <c r="T2" t="e">
        <f>AND(Calculations!O3,"AAAAAHP6zRM=")</f>
        <v>#VALUE!</v>
      </c>
      <c r="U2" t="e">
        <f>AND(Calculations!P3,"AAAAAHP6zRQ=")</f>
        <v>#VALUE!</v>
      </c>
      <c r="V2" t="e">
        <f>AND(Calculations!Q3,"AAAAAHP6zRU=")</f>
        <v>#VALUE!</v>
      </c>
      <c r="W2">
        <f>IF(Calculations!4:4,"AAAAAHP6zRY=",0)</f>
        <v>0</v>
      </c>
      <c r="X2" t="e">
        <f>AND(Calculations!A4,"AAAAAHP6zRc=")</f>
        <v>#VALUE!</v>
      </c>
      <c r="Y2" t="e">
        <f>AND(Calculations!B4,"AAAAAHP6zRg=")</f>
        <v>#VALUE!</v>
      </c>
      <c r="Z2" t="e">
        <f>AND(Calculations!C4,"AAAAAHP6zRk=")</f>
        <v>#VALUE!</v>
      </c>
      <c r="AA2" t="e">
        <f>AND(Calculations!D4,"AAAAAHP6zRo=")</f>
        <v>#VALUE!</v>
      </c>
      <c r="AB2" t="e">
        <f>AND(Calculations!E4,"AAAAAHP6zRs=")</f>
        <v>#VALUE!</v>
      </c>
      <c r="AC2" t="e">
        <f>AND(Calculations!F4,"AAAAAHP6zRw=")</f>
        <v>#VALUE!</v>
      </c>
      <c r="AD2" t="e">
        <f>AND(Calculations!G4,"AAAAAHP6zR0=")</f>
        <v>#VALUE!</v>
      </c>
      <c r="AE2" t="e">
        <f>AND(Calculations!H4,"AAAAAHP6zR4=")</f>
        <v>#VALUE!</v>
      </c>
      <c r="AF2" t="e">
        <f>AND(Calculations!I4,"AAAAAHP6zR8=")</f>
        <v>#VALUE!</v>
      </c>
      <c r="AG2" t="e">
        <f>AND(Calculations!J4,"AAAAAHP6zSA=")</f>
        <v>#VALUE!</v>
      </c>
      <c r="AH2" t="e">
        <f>AND(Calculations!K4,"AAAAAHP6zSE=")</f>
        <v>#VALUE!</v>
      </c>
      <c r="AI2" t="e">
        <f>AND(Calculations!L4,"AAAAAHP6zSI=")</f>
        <v>#VALUE!</v>
      </c>
      <c r="AJ2" t="e">
        <f>AND(Calculations!M4,"AAAAAHP6zSM=")</f>
        <v>#VALUE!</v>
      </c>
      <c r="AK2" t="e">
        <f>AND(Calculations!N4,"AAAAAHP6zSQ=")</f>
        <v>#VALUE!</v>
      </c>
      <c r="AL2" t="e">
        <f>AND(Calculations!O4,"AAAAAHP6zSU=")</f>
        <v>#VALUE!</v>
      </c>
      <c r="AM2" t="e">
        <f>AND(Calculations!P4,"AAAAAHP6zSY=")</f>
        <v>#VALUE!</v>
      </c>
      <c r="AN2" t="e">
        <f>AND(Calculations!Q4,"AAAAAHP6zSc=")</f>
        <v>#VALUE!</v>
      </c>
      <c r="AO2">
        <f>IF(Calculations!5:5,"AAAAAHP6zSg=",0)</f>
        <v>0</v>
      </c>
      <c r="AP2" t="e">
        <f>AND(Calculations!A5,"AAAAAHP6zSk=")</f>
        <v>#VALUE!</v>
      </c>
      <c r="AQ2" t="e">
        <f>AND(Calculations!B5,"AAAAAHP6zSo=")</f>
        <v>#VALUE!</v>
      </c>
      <c r="AR2" t="e">
        <f>AND(Calculations!C5,"AAAAAHP6zSs=")</f>
        <v>#VALUE!</v>
      </c>
      <c r="AS2" t="e">
        <f>AND(Calculations!D5,"AAAAAHP6zSw=")</f>
        <v>#VALUE!</v>
      </c>
      <c r="AT2" t="e">
        <f>AND(Calculations!E5,"AAAAAHP6zS0=")</f>
        <v>#VALUE!</v>
      </c>
      <c r="AU2" t="e">
        <f>AND(Calculations!F5,"AAAAAHP6zS4=")</f>
        <v>#VALUE!</v>
      </c>
      <c r="AV2" t="e">
        <f>AND(Calculations!G5,"AAAAAHP6zS8=")</f>
        <v>#VALUE!</v>
      </c>
      <c r="AW2" t="e">
        <f>AND(Calculations!H5,"AAAAAHP6zTA=")</f>
        <v>#VALUE!</v>
      </c>
      <c r="AX2" t="e">
        <f>AND(Calculations!I5,"AAAAAHP6zTE=")</f>
        <v>#VALUE!</v>
      </c>
      <c r="AY2" t="e">
        <f>AND(Calculations!J5,"AAAAAHP6zTI=")</f>
        <v>#VALUE!</v>
      </c>
      <c r="AZ2" t="e">
        <f>AND(Calculations!K5,"AAAAAHP6zTM=")</f>
        <v>#VALUE!</v>
      </c>
      <c r="BA2" t="e">
        <f>AND(Calculations!L5,"AAAAAHP6zTQ=")</f>
        <v>#VALUE!</v>
      </c>
      <c r="BB2" t="e">
        <f>AND(Calculations!M5,"AAAAAHP6zTU=")</f>
        <v>#VALUE!</v>
      </c>
      <c r="BC2" t="e">
        <f>AND(Calculations!N5,"AAAAAHP6zTY=")</f>
        <v>#VALUE!</v>
      </c>
      <c r="BD2" t="e">
        <f>AND(Calculations!O5,"AAAAAHP6zTc=")</f>
        <v>#VALUE!</v>
      </c>
      <c r="BE2" t="e">
        <f>AND(Calculations!P5,"AAAAAHP6zTg=")</f>
        <v>#VALUE!</v>
      </c>
      <c r="BF2" t="e">
        <f>AND(Calculations!Q5,"AAAAAHP6zTk=")</f>
        <v>#VALUE!</v>
      </c>
      <c r="BG2">
        <f>IF(Calculations!6:6,"AAAAAHP6zTo=",0)</f>
        <v>0</v>
      </c>
      <c r="BH2" t="e">
        <f>AND(Calculations!A6,"AAAAAHP6zTs=")</f>
        <v>#VALUE!</v>
      </c>
      <c r="BI2" t="e">
        <f>AND(Calculations!B6,"AAAAAHP6zTw=")</f>
        <v>#VALUE!</v>
      </c>
      <c r="BJ2" t="e">
        <f>AND(Calculations!C6,"AAAAAHP6zT0=")</f>
        <v>#VALUE!</v>
      </c>
      <c r="BK2" t="e">
        <f>AND(Calculations!D6,"AAAAAHP6zT4=")</f>
        <v>#VALUE!</v>
      </c>
      <c r="BL2" t="e">
        <f>AND(Calculations!E6,"AAAAAHP6zT8=")</f>
        <v>#VALUE!</v>
      </c>
      <c r="BM2" t="e">
        <f>AND(Calculations!F6,"AAAAAHP6zUA=")</f>
        <v>#VALUE!</v>
      </c>
      <c r="BN2" t="e">
        <f>AND(Calculations!G6,"AAAAAHP6zUE=")</f>
        <v>#VALUE!</v>
      </c>
      <c r="BO2" t="e">
        <f>AND(Calculations!H6,"AAAAAHP6zUI=")</f>
        <v>#VALUE!</v>
      </c>
      <c r="BP2" t="e">
        <f>AND(Calculations!I6,"AAAAAHP6zUM=")</f>
        <v>#VALUE!</v>
      </c>
      <c r="BQ2" t="e">
        <f>AND(Calculations!J6,"AAAAAHP6zUQ=")</f>
        <v>#VALUE!</v>
      </c>
      <c r="BR2" t="e">
        <f>AND(Calculations!K6,"AAAAAHP6zUU=")</f>
        <v>#VALUE!</v>
      </c>
      <c r="BS2" t="e">
        <f>AND(Calculations!L6,"AAAAAHP6zUY=")</f>
        <v>#VALUE!</v>
      </c>
      <c r="BT2" t="e">
        <f>AND(Calculations!M6,"AAAAAHP6zUc=")</f>
        <v>#VALUE!</v>
      </c>
      <c r="BU2" t="e">
        <f>AND(Calculations!N6,"AAAAAHP6zUg=")</f>
        <v>#VALUE!</v>
      </c>
      <c r="BV2" t="e">
        <f>AND(Calculations!O6,"AAAAAHP6zUk=")</f>
        <v>#VALUE!</v>
      </c>
      <c r="BW2" t="e">
        <f>AND(Calculations!P6,"AAAAAHP6zUo=")</f>
        <v>#VALUE!</v>
      </c>
      <c r="BX2" t="e">
        <f>AND(Calculations!Q6,"AAAAAHP6zUs=")</f>
        <v>#VALUE!</v>
      </c>
      <c r="BY2">
        <f>IF(Calculations!7:7,"AAAAAHP6zUw=",0)</f>
        <v>0</v>
      </c>
      <c r="BZ2" t="e">
        <f>AND(Calculations!A7,"AAAAAHP6zU0=")</f>
        <v>#VALUE!</v>
      </c>
      <c r="CA2" t="e">
        <f>AND(Calculations!B7,"AAAAAHP6zU4=")</f>
        <v>#VALUE!</v>
      </c>
      <c r="CB2" t="e">
        <f>AND(Calculations!C7,"AAAAAHP6zU8=")</f>
        <v>#VALUE!</v>
      </c>
      <c r="CC2" t="e">
        <f>AND(Calculations!D7,"AAAAAHP6zVA=")</f>
        <v>#VALUE!</v>
      </c>
      <c r="CD2" t="e">
        <f>AND(Calculations!E7,"AAAAAHP6zVE=")</f>
        <v>#VALUE!</v>
      </c>
      <c r="CE2" t="e">
        <f>AND(Calculations!F7,"AAAAAHP6zVI=")</f>
        <v>#VALUE!</v>
      </c>
      <c r="CF2" t="e">
        <f>AND(Calculations!G7,"AAAAAHP6zVM=")</f>
        <v>#VALUE!</v>
      </c>
      <c r="CG2" t="e">
        <f>AND(Calculations!H7,"AAAAAHP6zVQ=")</f>
        <v>#VALUE!</v>
      </c>
      <c r="CH2" t="e">
        <f>AND(Calculations!I7,"AAAAAHP6zVU=")</f>
        <v>#VALUE!</v>
      </c>
      <c r="CI2" t="e">
        <f>AND(Calculations!J7,"AAAAAHP6zVY=")</f>
        <v>#VALUE!</v>
      </c>
      <c r="CJ2" t="e">
        <f>AND(Calculations!K7,"AAAAAHP6zVc=")</f>
        <v>#VALUE!</v>
      </c>
      <c r="CK2" t="e">
        <f>AND(Calculations!L7,"AAAAAHP6zVg=")</f>
        <v>#VALUE!</v>
      </c>
      <c r="CL2" t="e">
        <f>AND(Calculations!M7,"AAAAAHP6zVk=")</f>
        <v>#VALUE!</v>
      </c>
      <c r="CM2" t="e">
        <f>AND(Calculations!N7,"AAAAAHP6zVo=")</f>
        <v>#VALUE!</v>
      </c>
      <c r="CN2" t="e">
        <f>AND(Calculations!O7,"AAAAAHP6zVs=")</f>
        <v>#VALUE!</v>
      </c>
      <c r="CO2" t="e">
        <f>AND(Calculations!P7,"AAAAAHP6zVw=")</f>
        <v>#VALUE!</v>
      </c>
      <c r="CP2" t="e">
        <f>AND(Calculations!Q7,"AAAAAHP6zV0=")</f>
        <v>#VALUE!</v>
      </c>
      <c r="CQ2">
        <f>IF(Calculations!8:8,"AAAAAHP6zV4=",0)</f>
        <v>0</v>
      </c>
      <c r="CR2" t="e">
        <f>AND(Calculations!A8,"AAAAAHP6zV8=")</f>
        <v>#VALUE!</v>
      </c>
      <c r="CS2" t="e">
        <f>AND(Calculations!B8,"AAAAAHP6zWA=")</f>
        <v>#VALUE!</v>
      </c>
      <c r="CT2" t="e">
        <f>AND(Calculations!C8,"AAAAAHP6zWE=")</f>
        <v>#VALUE!</v>
      </c>
      <c r="CU2" t="e">
        <f>AND(Calculations!D8,"AAAAAHP6zWI=")</f>
        <v>#VALUE!</v>
      </c>
      <c r="CV2" t="e">
        <f>AND(Calculations!E8,"AAAAAHP6zWM=")</f>
        <v>#VALUE!</v>
      </c>
      <c r="CW2" t="e">
        <f>AND(Calculations!F8,"AAAAAHP6zWQ=")</f>
        <v>#VALUE!</v>
      </c>
      <c r="CX2" t="e">
        <f>AND(Calculations!G8,"AAAAAHP6zWU=")</f>
        <v>#VALUE!</v>
      </c>
      <c r="CY2" t="e">
        <f>AND(Calculations!H8,"AAAAAHP6zWY=")</f>
        <v>#VALUE!</v>
      </c>
      <c r="CZ2" t="e">
        <f>AND(Calculations!I8,"AAAAAHP6zWc=")</f>
        <v>#VALUE!</v>
      </c>
      <c r="DA2" t="e">
        <f>AND(Calculations!J8,"AAAAAHP6zWg=")</f>
        <v>#VALUE!</v>
      </c>
      <c r="DB2" t="e">
        <f>AND(Calculations!K8,"AAAAAHP6zWk=")</f>
        <v>#VALUE!</v>
      </c>
      <c r="DC2" t="e">
        <f>AND(Calculations!L8,"AAAAAHP6zWo=")</f>
        <v>#VALUE!</v>
      </c>
      <c r="DD2" t="e">
        <f>AND(Calculations!M8,"AAAAAHP6zWs=")</f>
        <v>#VALUE!</v>
      </c>
      <c r="DE2" t="e">
        <f>AND(Calculations!N8,"AAAAAHP6zWw=")</f>
        <v>#VALUE!</v>
      </c>
      <c r="DF2" t="e">
        <f>AND(Calculations!O8,"AAAAAHP6zW0=")</f>
        <v>#VALUE!</v>
      </c>
      <c r="DG2" t="e">
        <f>AND(Calculations!P8,"AAAAAHP6zW4=")</f>
        <v>#VALUE!</v>
      </c>
      <c r="DH2" t="e">
        <f>AND(Calculations!Q8,"AAAAAHP6zW8=")</f>
        <v>#VALUE!</v>
      </c>
      <c r="DI2">
        <f>IF(Calculations!9:9,"AAAAAHP6zXA=",0)</f>
        <v>0</v>
      </c>
      <c r="DJ2" t="e">
        <f>AND(Calculations!A9,"AAAAAHP6zXE=")</f>
        <v>#VALUE!</v>
      </c>
      <c r="DK2" t="e">
        <f>AND(Calculations!B9,"AAAAAHP6zXI=")</f>
        <v>#VALUE!</v>
      </c>
      <c r="DL2" t="e">
        <f>AND(Calculations!C9,"AAAAAHP6zXM=")</f>
        <v>#VALUE!</v>
      </c>
      <c r="DM2" t="e">
        <f>AND(Calculations!D9,"AAAAAHP6zXQ=")</f>
        <v>#VALUE!</v>
      </c>
      <c r="DN2" t="e">
        <f>AND(Calculations!E9,"AAAAAHP6zXU=")</f>
        <v>#VALUE!</v>
      </c>
      <c r="DO2" t="e">
        <f>AND(Calculations!F9,"AAAAAHP6zXY=")</f>
        <v>#VALUE!</v>
      </c>
      <c r="DP2" t="e">
        <f>AND(Calculations!G9,"AAAAAHP6zXc=")</f>
        <v>#VALUE!</v>
      </c>
      <c r="DQ2" t="e">
        <f>AND(Calculations!H9,"AAAAAHP6zXg=")</f>
        <v>#VALUE!</v>
      </c>
      <c r="DR2" t="e">
        <f>AND(Calculations!I9,"AAAAAHP6zXk=")</f>
        <v>#VALUE!</v>
      </c>
      <c r="DS2" t="e">
        <f>AND(Calculations!J9,"AAAAAHP6zXo=")</f>
        <v>#VALUE!</v>
      </c>
      <c r="DT2" t="e">
        <f>AND(Calculations!K9,"AAAAAHP6zXs=")</f>
        <v>#VALUE!</v>
      </c>
      <c r="DU2" t="e">
        <f>AND(Calculations!L9,"AAAAAHP6zXw=")</f>
        <v>#VALUE!</v>
      </c>
      <c r="DV2" t="e">
        <f>AND(Calculations!M9,"AAAAAHP6zX0=")</f>
        <v>#VALUE!</v>
      </c>
      <c r="DW2" t="e">
        <f>AND(Calculations!N9,"AAAAAHP6zX4=")</f>
        <v>#VALUE!</v>
      </c>
      <c r="DX2" t="e">
        <f>AND(Calculations!O9,"AAAAAHP6zX8=")</f>
        <v>#VALUE!</v>
      </c>
      <c r="DY2" t="e">
        <f>AND(Calculations!P9,"AAAAAHP6zYA=")</f>
        <v>#VALUE!</v>
      </c>
      <c r="DZ2" t="e">
        <f>AND(Calculations!Q9,"AAAAAHP6zYE=")</f>
        <v>#VALUE!</v>
      </c>
      <c r="EA2">
        <f>IF(Calculations!10:10,"AAAAAHP6zYI=",0)</f>
        <v>0</v>
      </c>
      <c r="EB2" t="e">
        <f>AND(Calculations!A10,"AAAAAHP6zYM=")</f>
        <v>#VALUE!</v>
      </c>
      <c r="EC2" t="e">
        <f>AND(Calculations!B10,"AAAAAHP6zYQ=")</f>
        <v>#VALUE!</v>
      </c>
      <c r="ED2" t="e">
        <f>AND(Calculations!C10,"AAAAAHP6zYU=")</f>
        <v>#VALUE!</v>
      </c>
      <c r="EE2" t="e">
        <f>AND(Calculations!D10,"AAAAAHP6zYY=")</f>
        <v>#VALUE!</v>
      </c>
      <c r="EF2" t="e">
        <f>AND(Calculations!E10,"AAAAAHP6zYc=")</f>
        <v>#VALUE!</v>
      </c>
      <c r="EG2" t="e">
        <f>AND(Calculations!F10,"AAAAAHP6zYg=")</f>
        <v>#VALUE!</v>
      </c>
      <c r="EH2" t="e">
        <f>AND(Calculations!G10,"AAAAAHP6zYk=")</f>
        <v>#VALUE!</v>
      </c>
      <c r="EI2" t="e">
        <f>AND(Calculations!H10,"AAAAAHP6zYo=")</f>
        <v>#VALUE!</v>
      </c>
      <c r="EJ2" t="e">
        <f>AND(Calculations!I10,"AAAAAHP6zYs=")</f>
        <v>#VALUE!</v>
      </c>
      <c r="EK2" t="e">
        <f>AND(Calculations!J10,"AAAAAHP6zYw=")</f>
        <v>#VALUE!</v>
      </c>
      <c r="EL2" t="e">
        <f>AND(Calculations!K10,"AAAAAHP6zY0=")</f>
        <v>#VALUE!</v>
      </c>
      <c r="EM2" t="e">
        <f>AND(Calculations!L10,"AAAAAHP6zY4=")</f>
        <v>#VALUE!</v>
      </c>
      <c r="EN2" t="e">
        <f>AND(Calculations!M10,"AAAAAHP6zY8=")</f>
        <v>#VALUE!</v>
      </c>
      <c r="EO2" t="e">
        <f>AND(Calculations!N10,"AAAAAHP6zZA=")</f>
        <v>#VALUE!</v>
      </c>
      <c r="EP2" t="e">
        <f>AND(Calculations!O10,"AAAAAHP6zZE=")</f>
        <v>#VALUE!</v>
      </c>
      <c r="EQ2" t="e">
        <f>AND(Calculations!P10,"AAAAAHP6zZI=")</f>
        <v>#VALUE!</v>
      </c>
      <c r="ER2" t="e">
        <f>AND(Calculations!Q10,"AAAAAHP6zZM=")</f>
        <v>#VALUE!</v>
      </c>
      <c r="ES2">
        <f>IF(Calculations!11:11,"AAAAAHP6zZQ=",0)</f>
        <v>0</v>
      </c>
      <c r="ET2" t="e">
        <f>AND(Calculations!A11,"AAAAAHP6zZU=")</f>
        <v>#VALUE!</v>
      </c>
      <c r="EU2" t="e">
        <f>AND(Calculations!B11,"AAAAAHP6zZY=")</f>
        <v>#VALUE!</v>
      </c>
      <c r="EV2" t="e">
        <f>AND(Calculations!C11,"AAAAAHP6zZc=")</f>
        <v>#VALUE!</v>
      </c>
      <c r="EW2" t="e">
        <f>AND(Calculations!D11,"AAAAAHP6zZg=")</f>
        <v>#VALUE!</v>
      </c>
      <c r="EX2" t="e">
        <f>AND(Calculations!E11,"AAAAAHP6zZk=")</f>
        <v>#VALUE!</v>
      </c>
      <c r="EY2" t="e">
        <f>AND(Calculations!F11,"AAAAAHP6zZo=")</f>
        <v>#VALUE!</v>
      </c>
      <c r="EZ2" t="e">
        <f>AND(Calculations!G11,"AAAAAHP6zZs=")</f>
        <v>#VALUE!</v>
      </c>
      <c r="FA2" t="e">
        <f>AND(Calculations!H11,"AAAAAHP6zZw=")</f>
        <v>#VALUE!</v>
      </c>
      <c r="FB2" t="e">
        <f>AND(Calculations!I11,"AAAAAHP6zZ0=")</f>
        <v>#VALUE!</v>
      </c>
      <c r="FC2" t="e">
        <f>AND(Calculations!J11,"AAAAAHP6zZ4=")</f>
        <v>#VALUE!</v>
      </c>
      <c r="FD2" t="e">
        <f>AND(Calculations!K11,"AAAAAHP6zZ8=")</f>
        <v>#VALUE!</v>
      </c>
      <c r="FE2" t="e">
        <f>AND(Calculations!L11,"AAAAAHP6zaA=")</f>
        <v>#VALUE!</v>
      </c>
      <c r="FF2" t="e">
        <f>AND(Calculations!M11,"AAAAAHP6zaE=")</f>
        <v>#VALUE!</v>
      </c>
      <c r="FG2" t="e">
        <f>AND(Calculations!N11,"AAAAAHP6zaI=")</f>
        <v>#VALUE!</v>
      </c>
      <c r="FH2" t="e">
        <f>AND(Calculations!O11,"AAAAAHP6zaM=")</f>
        <v>#VALUE!</v>
      </c>
      <c r="FI2" t="e">
        <f>AND(Calculations!P11,"AAAAAHP6zaQ=")</f>
        <v>#VALUE!</v>
      </c>
      <c r="FJ2" t="e">
        <f>AND(Calculations!Q11,"AAAAAHP6zaU=")</f>
        <v>#VALUE!</v>
      </c>
      <c r="FK2">
        <f>IF(Calculations!12:12,"AAAAAHP6zaY=",0)</f>
        <v>0</v>
      </c>
      <c r="FL2" t="e">
        <f>AND(Calculations!A12,"AAAAAHP6zac=")</f>
        <v>#VALUE!</v>
      </c>
      <c r="FM2" t="e">
        <f>AND(Calculations!B12,"AAAAAHP6zag=")</f>
        <v>#VALUE!</v>
      </c>
      <c r="FN2" t="e">
        <f>AND(Calculations!C12,"AAAAAHP6zak=")</f>
        <v>#VALUE!</v>
      </c>
      <c r="FO2" t="e">
        <f>AND(Calculations!D12,"AAAAAHP6zao=")</f>
        <v>#VALUE!</v>
      </c>
      <c r="FP2" t="e">
        <f>AND(Calculations!E12,"AAAAAHP6zas=")</f>
        <v>#VALUE!</v>
      </c>
      <c r="FQ2" t="e">
        <f>AND(Calculations!F12,"AAAAAHP6zaw=")</f>
        <v>#VALUE!</v>
      </c>
      <c r="FR2" t="e">
        <f>AND(Calculations!G12,"AAAAAHP6za0=")</f>
        <v>#VALUE!</v>
      </c>
      <c r="FS2" t="e">
        <f>AND(Calculations!H12,"AAAAAHP6za4=")</f>
        <v>#VALUE!</v>
      </c>
      <c r="FT2" t="e">
        <f>AND(Calculations!I12,"AAAAAHP6za8=")</f>
        <v>#VALUE!</v>
      </c>
      <c r="FU2" t="e">
        <f>AND(Calculations!J12,"AAAAAHP6zbA=")</f>
        <v>#VALUE!</v>
      </c>
      <c r="FV2" t="e">
        <f>AND(Calculations!K12,"AAAAAHP6zbE=")</f>
        <v>#VALUE!</v>
      </c>
      <c r="FW2" t="e">
        <f>AND(Calculations!L12,"AAAAAHP6zbI=")</f>
        <v>#VALUE!</v>
      </c>
      <c r="FX2" t="e">
        <f>AND(Calculations!M12,"AAAAAHP6zbM=")</f>
        <v>#VALUE!</v>
      </c>
      <c r="FY2" t="e">
        <f>AND(Calculations!N12,"AAAAAHP6zbQ=")</f>
        <v>#VALUE!</v>
      </c>
      <c r="FZ2" t="e">
        <f>AND(Calculations!O12,"AAAAAHP6zbU=")</f>
        <v>#VALUE!</v>
      </c>
      <c r="GA2" t="e">
        <f>AND(Calculations!P12,"AAAAAHP6zbY=")</f>
        <v>#VALUE!</v>
      </c>
      <c r="GB2" t="e">
        <f>AND(Calculations!Q12,"AAAAAHP6zbc=")</f>
        <v>#VALUE!</v>
      </c>
      <c r="GC2">
        <f>IF(Calculations!13:13,"AAAAAHP6zbg=",0)</f>
        <v>0</v>
      </c>
      <c r="GD2" t="e">
        <f>AND(Calculations!A13,"AAAAAHP6zbk=")</f>
        <v>#VALUE!</v>
      </c>
      <c r="GE2" t="e">
        <f>AND(Calculations!B13,"AAAAAHP6zbo=")</f>
        <v>#VALUE!</v>
      </c>
      <c r="GF2" t="e">
        <f>AND(Calculations!C13,"AAAAAHP6zbs=")</f>
        <v>#VALUE!</v>
      </c>
      <c r="GG2" t="e">
        <f>AND(Calculations!D13,"AAAAAHP6zbw=")</f>
        <v>#VALUE!</v>
      </c>
      <c r="GH2" t="e">
        <f>AND(Calculations!E13,"AAAAAHP6zb0=")</f>
        <v>#VALUE!</v>
      </c>
      <c r="GI2" t="e">
        <f>AND(Calculations!F13,"AAAAAHP6zb4=")</f>
        <v>#VALUE!</v>
      </c>
      <c r="GJ2" t="e">
        <f>AND(Calculations!G13,"AAAAAHP6zb8=")</f>
        <v>#VALUE!</v>
      </c>
      <c r="GK2" t="e">
        <f>AND(Calculations!H13,"AAAAAHP6zcA=")</f>
        <v>#VALUE!</v>
      </c>
      <c r="GL2" t="e">
        <f>AND(Calculations!I13,"AAAAAHP6zcE=")</f>
        <v>#VALUE!</v>
      </c>
      <c r="GM2" t="e">
        <f>AND(Calculations!J13,"AAAAAHP6zcI=")</f>
        <v>#VALUE!</v>
      </c>
      <c r="GN2" t="e">
        <f>AND(Calculations!K13,"AAAAAHP6zcM=")</f>
        <v>#VALUE!</v>
      </c>
      <c r="GO2" t="e">
        <f>AND(Calculations!L13,"AAAAAHP6zcQ=")</f>
        <v>#VALUE!</v>
      </c>
      <c r="GP2" t="e">
        <f>AND(Calculations!M13,"AAAAAHP6zcU=")</f>
        <v>#VALUE!</v>
      </c>
      <c r="GQ2" t="e">
        <f>AND(Calculations!N13,"AAAAAHP6zcY=")</f>
        <v>#VALUE!</v>
      </c>
      <c r="GR2" t="e">
        <f>AND(Calculations!O13,"AAAAAHP6zcc=")</f>
        <v>#VALUE!</v>
      </c>
      <c r="GS2" t="e">
        <f>AND(Calculations!P13,"AAAAAHP6zcg=")</f>
        <v>#VALUE!</v>
      </c>
      <c r="GT2" t="e">
        <f>AND(Calculations!Q13,"AAAAAHP6zck=")</f>
        <v>#VALUE!</v>
      </c>
      <c r="GU2">
        <f>IF(Calculations!14:14,"AAAAAHP6zco=",0)</f>
        <v>0</v>
      </c>
      <c r="GV2" t="e">
        <f>AND(Calculations!A14,"AAAAAHP6zcs=")</f>
        <v>#VALUE!</v>
      </c>
      <c r="GW2" t="e">
        <f>AND(Calculations!B14,"AAAAAHP6zcw=")</f>
        <v>#VALUE!</v>
      </c>
      <c r="GX2" t="e">
        <f>AND(Calculations!C14,"AAAAAHP6zc0=")</f>
        <v>#VALUE!</v>
      </c>
      <c r="GY2" t="e">
        <f>AND(Calculations!D14,"AAAAAHP6zc4=")</f>
        <v>#VALUE!</v>
      </c>
      <c r="GZ2" t="e">
        <f>AND(Calculations!E14,"AAAAAHP6zc8=")</f>
        <v>#VALUE!</v>
      </c>
      <c r="HA2" t="e">
        <f>AND(Calculations!F14,"AAAAAHP6zdA=")</f>
        <v>#VALUE!</v>
      </c>
      <c r="HB2" t="e">
        <f>AND(Calculations!G14,"AAAAAHP6zdE=")</f>
        <v>#VALUE!</v>
      </c>
      <c r="HC2" t="e">
        <f>AND(Calculations!H14,"AAAAAHP6zdI=")</f>
        <v>#VALUE!</v>
      </c>
      <c r="HD2" t="e">
        <f>AND(Calculations!I14,"AAAAAHP6zdM=")</f>
        <v>#VALUE!</v>
      </c>
      <c r="HE2" t="e">
        <f>AND(Calculations!J14,"AAAAAHP6zdQ=")</f>
        <v>#VALUE!</v>
      </c>
      <c r="HF2" t="e">
        <f>AND(Calculations!K14,"AAAAAHP6zdU=")</f>
        <v>#VALUE!</v>
      </c>
      <c r="HG2" t="e">
        <f>AND(Calculations!L14,"AAAAAHP6zdY=")</f>
        <v>#VALUE!</v>
      </c>
      <c r="HH2" t="e">
        <f>AND(Calculations!M14,"AAAAAHP6zdc=")</f>
        <v>#VALUE!</v>
      </c>
      <c r="HI2" t="e">
        <f>AND(Calculations!N14,"AAAAAHP6zdg=")</f>
        <v>#VALUE!</v>
      </c>
      <c r="HJ2" t="e">
        <f>AND(Calculations!O14,"AAAAAHP6zdk=")</f>
        <v>#VALUE!</v>
      </c>
      <c r="HK2" t="e">
        <f>AND(Calculations!P14,"AAAAAHP6zdo=")</f>
        <v>#VALUE!</v>
      </c>
      <c r="HL2" t="e">
        <f>AND(Calculations!Q14,"AAAAAHP6zds=")</f>
        <v>#VALUE!</v>
      </c>
      <c r="HM2">
        <f>IF(Calculations!15:15,"AAAAAHP6zdw=",0)</f>
        <v>0</v>
      </c>
      <c r="HN2" t="e">
        <f>AND(Calculations!A15,"AAAAAHP6zd0=")</f>
        <v>#VALUE!</v>
      </c>
      <c r="HO2" t="e">
        <f>AND(Calculations!B15,"AAAAAHP6zd4=")</f>
        <v>#VALUE!</v>
      </c>
      <c r="HP2" t="e">
        <f>AND(Calculations!C15,"AAAAAHP6zd8=")</f>
        <v>#VALUE!</v>
      </c>
      <c r="HQ2" t="e">
        <f>AND(Calculations!D15,"AAAAAHP6zeA=")</f>
        <v>#VALUE!</v>
      </c>
      <c r="HR2" t="e">
        <f>AND(Calculations!E15,"AAAAAHP6zeE=")</f>
        <v>#VALUE!</v>
      </c>
      <c r="HS2" t="e">
        <f>AND(Calculations!F15,"AAAAAHP6zeI=")</f>
        <v>#VALUE!</v>
      </c>
      <c r="HT2" t="e">
        <f>AND(Calculations!G15,"AAAAAHP6zeM=")</f>
        <v>#VALUE!</v>
      </c>
      <c r="HU2" t="e">
        <f>AND(Calculations!H15,"AAAAAHP6zeQ=")</f>
        <v>#VALUE!</v>
      </c>
      <c r="HV2" t="e">
        <f>AND(Calculations!I15,"AAAAAHP6zeU=")</f>
        <v>#VALUE!</v>
      </c>
      <c r="HW2" t="e">
        <f>AND(Calculations!J15,"AAAAAHP6zeY=")</f>
        <v>#VALUE!</v>
      </c>
      <c r="HX2" t="e">
        <f>AND(Calculations!K15,"AAAAAHP6zec=")</f>
        <v>#VALUE!</v>
      </c>
      <c r="HY2" t="e">
        <f>AND(Calculations!L15,"AAAAAHP6zeg=")</f>
        <v>#VALUE!</v>
      </c>
      <c r="HZ2" t="e">
        <f>AND(Calculations!M15,"AAAAAHP6zek=")</f>
        <v>#VALUE!</v>
      </c>
      <c r="IA2" t="e">
        <f>AND(Calculations!N15,"AAAAAHP6zeo=")</f>
        <v>#VALUE!</v>
      </c>
      <c r="IB2" t="e">
        <f>AND(Calculations!O15,"AAAAAHP6zes=")</f>
        <v>#VALUE!</v>
      </c>
      <c r="IC2" t="e">
        <f>AND(Calculations!P15,"AAAAAHP6zew=")</f>
        <v>#VALUE!</v>
      </c>
      <c r="ID2" t="e">
        <f>AND(Calculations!Q15,"AAAAAHP6ze0=")</f>
        <v>#VALUE!</v>
      </c>
      <c r="IE2">
        <f>IF(Calculations!16:16,"AAAAAHP6ze4=",0)</f>
        <v>0</v>
      </c>
      <c r="IF2" t="e">
        <f>AND(Calculations!A16,"AAAAAHP6ze8=")</f>
        <v>#VALUE!</v>
      </c>
      <c r="IG2" t="e">
        <f>AND(Calculations!B16,"AAAAAHP6zfA=")</f>
        <v>#VALUE!</v>
      </c>
      <c r="IH2" t="e">
        <f>AND(Calculations!C16,"AAAAAHP6zfE=")</f>
        <v>#VALUE!</v>
      </c>
      <c r="II2" t="e">
        <f>AND(Calculations!D16,"AAAAAHP6zfI=")</f>
        <v>#VALUE!</v>
      </c>
      <c r="IJ2" t="e">
        <f>AND(Calculations!E16,"AAAAAHP6zfM=")</f>
        <v>#VALUE!</v>
      </c>
      <c r="IK2" t="e">
        <f>AND(Calculations!F16,"AAAAAHP6zfQ=")</f>
        <v>#VALUE!</v>
      </c>
      <c r="IL2" t="e">
        <f>AND(Calculations!G16,"AAAAAHP6zfU=")</f>
        <v>#VALUE!</v>
      </c>
      <c r="IM2" t="e">
        <f>AND(Calculations!H16,"AAAAAHP6zfY=")</f>
        <v>#VALUE!</v>
      </c>
      <c r="IN2" t="e">
        <f>AND(Calculations!I16,"AAAAAHP6zfc=")</f>
        <v>#VALUE!</v>
      </c>
      <c r="IO2" t="e">
        <f>AND(Calculations!J16,"AAAAAHP6zfg=")</f>
        <v>#VALUE!</v>
      </c>
      <c r="IP2" t="e">
        <f>AND(Calculations!K16,"AAAAAHP6zfk=")</f>
        <v>#VALUE!</v>
      </c>
      <c r="IQ2" t="e">
        <f>AND(Calculations!L16,"AAAAAHP6zfo=")</f>
        <v>#VALUE!</v>
      </c>
      <c r="IR2" t="e">
        <f>AND(Calculations!M16,"AAAAAHP6zfs=")</f>
        <v>#VALUE!</v>
      </c>
      <c r="IS2" t="e">
        <f>AND(Calculations!N16,"AAAAAHP6zfw=")</f>
        <v>#VALUE!</v>
      </c>
      <c r="IT2" t="e">
        <f>AND(Calculations!O16,"AAAAAHP6zf0=")</f>
        <v>#VALUE!</v>
      </c>
      <c r="IU2" t="e">
        <f>AND(Calculations!P16,"AAAAAHP6zf4=")</f>
        <v>#VALUE!</v>
      </c>
      <c r="IV2" t="e">
        <f>AND(Calculations!Q16,"AAAAAHP6zf8=")</f>
        <v>#VALUE!</v>
      </c>
    </row>
    <row r="3" spans="1:256" x14ac:dyDescent="0.25">
      <c r="A3" t="str">
        <f>IF(Calculations!17:17,"AAAAAF9/dwA=",0)</f>
        <v>AAAAAF9/dwA=</v>
      </c>
      <c r="B3" t="e">
        <f>AND(Calculations!A17,"AAAAAF9/dwE=")</f>
        <v>#VALUE!</v>
      </c>
      <c r="C3" t="e">
        <f>AND(Calculations!B17,"AAAAAF9/dwI=")</f>
        <v>#VALUE!</v>
      </c>
      <c r="D3" t="e">
        <f>AND(Calculations!C17,"AAAAAF9/dwM=")</f>
        <v>#VALUE!</v>
      </c>
      <c r="E3" t="e">
        <f>AND(Calculations!D17,"AAAAAF9/dwQ=")</f>
        <v>#VALUE!</v>
      </c>
      <c r="F3" t="e">
        <f>AND(Calculations!E17,"AAAAAF9/dwU=")</f>
        <v>#VALUE!</v>
      </c>
      <c r="G3" t="e">
        <f>AND(Calculations!F17,"AAAAAF9/dwY=")</f>
        <v>#VALUE!</v>
      </c>
      <c r="H3" t="e">
        <f>AND(Calculations!G17,"AAAAAF9/dwc=")</f>
        <v>#VALUE!</v>
      </c>
      <c r="I3" t="e">
        <f>AND(Calculations!H17,"AAAAAF9/dwg=")</f>
        <v>#VALUE!</v>
      </c>
      <c r="J3" t="e">
        <f>AND(Calculations!I17,"AAAAAF9/dwk=")</f>
        <v>#VALUE!</v>
      </c>
      <c r="K3" t="e">
        <f>AND(Calculations!J17,"AAAAAF9/dwo=")</f>
        <v>#VALUE!</v>
      </c>
      <c r="L3" t="e">
        <f>AND(Calculations!K17,"AAAAAF9/dws=")</f>
        <v>#VALUE!</v>
      </c>
      <c r="M3" t="e">
        <f>AND(Calculations!L17,"AAAAAF9/dww=")</f>
        <v>#VALUE!</v>
      </c>
      <c r="N3" t="e">
        <f>AND(Calculations!M17,"AAAAAF9/dw0=")</f>
        <v>#VALUE!</v>
      </c>
      <c r="O3" t="e">
        <f>AND(Calculations!N17,"AAAAAF9/dw4=")</f>
        <v>#VALUE!</v>
      </c>
      <c r="P3" t="e">
        <f>AND(Calculations!O17,"AAAAAF9/dw8=")</f>
        <v>#VALUE!</v>
      </c>
      <c r="Q3" t="e">
        <f>AND(Calculations!P17,"AAAAAF9/dxA=")</f>
        <v>#VALUE!</v>
      </c>
      <c r="R3" t="e">
        <f>AND(Calculations!Q17,"AAAAAF9/dxE=")</f>
        <v>#VALUE!</v>
      </c>
      <c r="S3">
        <f>IF(Calculations!18:18,"AAAAAF9/dxI=",0)</f>
        <v>0</v>
      </c>
      <c r="T3" t="e">
        <f>AND(Calculations!A18,"AAAAAF9/dxM=")</f>
        <v>#VALUE!</v>
      </c>
      <c r="U3" t="e">
        <f>AND(Calculations!B18,"AAAAAF9/dxQ=")</f>
        <v>#VALUE!</v>
      </c>
      <c r="V3" t="e">
        <f>AND(Calculations!C18,"AAAAAF9/dxU=")</f>
        <v>#VALUE!</v>
      </c>
      <c r="W3" t="e">
        <f>AND(Calculations!D18,"AAAAAF9/dxY=")</f>
        <v>#VALUE!</v>
      </c>
      <c r="X3" t="e">
        <f>AND(Calculations!E18,"AAAAAF9/dxc=")</f>
        <v>#VALUE!</v>
      </c>
      <c r="Y3" t="e">
        <f>AND(Calculations!F18,"AAAAAF9/dxg=")</f>
        <v>#VALUE!</v>
      </c>
      <c r="Z3" t="e">
        <f>AND(Calculations!G18,"AAAAAF9/dxk=")</f>
        <v>#VALUE!</v>
      </c>
      <c r="AA3" t="e">
        <f>AND(Calculations!H18,"AAAAAF9/dxo=")</f>
        <v>#VALUE!</v>
      </c>
      <c r="AB3" t="e">
        <f>AND(Calculations!I18,"AAAAAF9/dxs=")</f>
        <v>#VALUE!</v>
      </c>
      <c r="AC3" t="e">
        <f>AND(Calculations!J18,"AAAAAF9/dxw=")</f>
        <v>#VALUE!</v>
      </c>
      <c r="AD3" t="e">
        <f>AND(Calculations!K18,"AAAAAF9/dx0=")</f>
        <v>#VALUE!</v>
      </c>
      <c r="AE3" t="e">
        <f>AND(Calculations!L18,"AAAAAF9/dx4=")</f>
        <v>#VALUE!</v>
      </c>
      <c r="AF3" t="e">
        <f>AND(Calculations!M18,"AAAAAF9/dx8=")</f>
        <v>#VALUE!</v>
      </c>
      <c r="AG3" t="e">
        <f>AND(Calculations!N18,"AAAAAF9/dyA=")</f>
        <v>#VALUE!</v>
      </c>
      <c r="AH3" t="e">
        <f>AND(Calculations!O18,"AAAAAF9/dyE=")</f>
        <v>#VALUE!</v>
      </c>
      <c r="AI3" t="e">
        <f>AND(Calculations!P18,"AAAAAF9/dyI=")</f>
        <v>#VALUE!</v>
      </c>
      <c r="AJ3" t="e">
        <f>AND(Calculations!Q18,"AAAAAF9/dyM=")</f>
        <v>#VALUE!</v>
      </c>
      <c r="AK3">
        <f>IF(Calculations!19:19,"AAAAAF9/dyQ=",0)</f>
        <v>0</v>
      </c>
      <c r="AL3" t="e">
        <f>AND(Calculations!A19,"AAAAAF9/dyU=")</f>
        <v>#VALUE!</v>
      </c>
      <c r="AM3" t="e">
        <f>AND(Calculations!B19,"AAAAAF9/dyY=")</f>
        <v>#VALUE!</v>
      </c>
      <c r="AN3" t="e">
        <f>AND(Calculations!C19,"AAAAAF9/dyc=")</f>
        <v>#VALUE!</v>
      </c>
      <c r="AO3" t="e">
        <f>AND(Calculations!D19,"AAAAAF9/dyg=")</f>
        <v>#VALUE!</v>
      </c>
      <c r="AP3" t="e">
        <f>AND(Calculations!E19,"AAAAAF9/dyk=")</f>
        <v>#VALUE!</v>
      </c>
      <c r="AQ3" t="e">
        <f>AND(Calculations!F19,"AAAAAF9/dyo=")</f>
        <v>#VALUE!</v>
      </c>
      <c r="AR3" t="e">
        <f>AND(Calculations!G19,"AAAAAF9/dys=")</f>
        <v>#VALUE!</v>
      </c>
      <c r="AS3" t="e">
        <f>AND(Calculations!H19,"AAAAAF9/dyw=")</f>
        <v>#VALUE!</v>
      </c>
      <c r="AT3" t="e">
        <f>AND(Calculations!I19,"AAAAAF9/dy0=")</f>
        <v>#VALUE!</v>
      </c>
      <c r="AU3" t="e">
        <f>AND(Calculations!J19,"AAAAAF9/dy4=")</f>
        <v>#VALUE!</v>
      </c>
      <c r="AV3" t="e">
        <f>AND(Calculations!K19,"AAAAAF9/dy8=")</f>
        <v>#VALUE!</v>
      </c>
      <c r="AW3" t="e">
        <f>AND(Calculations!L19,"AAAAAF9/dzA=")</f>
        <v>#VALUE!</v>
      </c>
      <c r="AX3" t="e">
        <f>AND(Calculations!M19,"AAAAAF9/dzE=")</f>
        <v>#VALUE!</v>
      </c>
      <c r="AY3" t="e">
        <f>AND(Calculations!N19,"AAAAAF9/dzI=")</f>
        <v>#VALUE!</v>
      </c>
      <c r="AZ3" t="e">
        <f>AND(Calculations!O19,"AAAAAF9/dzM=")</f>
        <v>#VALUE!</v>
      </c>
      <c r="BA3" t="e">
        <f>AND(Calculations!P19,"AAAAAF9/dzQ=")</f>
        <v>#VALUE!</v>
      </c>
      <c r="BB3" t="e">
        <f>AND(Calculations!Q19,"AAAAAF9/dzU=")</f>
        <v>#VALUE!</v>
      </c>
      <c r="BC3">
        <f>IF(Calculations!20:20,"AAAAAF9/dzY=",0)</f>
        <v>0</v>
      </c>
      <c r="BD3" t="e">
        <f>AND(Calculations!A20,"AAAAAF9/dzc=")</f>
        <v>#VALUE!</v>
      </c>
      <c r="BE3" t="e">
        <f>AND(Calculations!B20,"AAAAAF9/dzg=")</f>
        <v>#VALUE!</v>
      </c>
      <c r="BF3" t="e">
        <f>AND(Calculations!C20,"AAAAAF9/dzk=")</f>
        <v>#VALUE!</v>
      </c>
      <c r="BG3" t="e">
        <f>AND(Calculations!D20,"AAAAAF9/dzo=")</f>
        <v>#VALUE!</v>
      </c>
      <c r="BH3" t="e">
        <f>AND(Calculations!E20,"AAAAAF9/dzs=")</f>
        <v>#VALUE!</v>
      </c>
      <c r="BI3" t="e">
        <f>AND(Calculations!F20,"AAAAAF9/dzw=")</f>
        <v>#VALUE!</v>
      </c>
      <c r="BJ3" t="e">
        <f>AND(Calculations!G20,"AAAAAF9/dz0=")</f>
        <v>#VALUE!</v>
      </c>
      <c r="BK3" t="e">
        <f>AND(Calculations!H20,"AAAAAF9/dz4=")</f>
        <v>#VALUE!</v>
      </c>
      <c r="BL3" t="e">
        <f>AND(Calculations!I20,"AAAAAF9/dz8=")</f>
        <v>#VALUE!</v>
      </c>
      <c r="BM3" t="e">
        <f>AND(Calculations!J20,"AAAAAF9/d0A=")</f>
        <v>#VALUE!</v>
      </c>
      <c r="BN3" t="e">
        <f>AND(Calculations!K20,"AAAAAF9/d0E=")</f>
        <v>#VALUE!</v>
      </c>
      <c r="BO3" t="e">
        <f>AND(Calculations!L20,"AAAAAF9/d0I=")</f>
        <v>#VALUE!</v>
      </c>
      <c r="BP3" t="e">
        <f>AND(Calculations!M20,"AAAAAF9/d0M=")</f>
        <v>#VALUE!</v>
      </c>
      <c r="BQ3" t="e">
        <f>AND(Calculations!N20,"AAAAAF9/d0Q=")</f>
        <v>#VALUE!</v>
      </c>
      <c r="BR3" t="e">
        <f>AND(Calculations!O20,"AAAAAF9/d0U=")</f>
        <v>#VALUE!</v>
      </c>
      <c r="BS3" t="e">
        <f>AND(Calculations!P20,"AAAAAF9/d0Y=")</f>
        <v>#VALUE!</v>
      </c>
      <c r="BT3" t="e">
        <f>AND(Calculations!Q20,"AAAAAF9/d0c=")</f>
        <v>#VALUE!</v>
      </c>
      <c r="BU3">
        <f>IF(Calculations!21:21,"AAAAAF9/d0g=",0)</f>
        <v>0</v>
      </c>
      <c r="BV3" t="e">
        <f>AND(Calculations!A21,"AAAAAF9/d0k=")</f>
        <v>#VALUE!</v>
      </c>
      <c r="BW3" t="e">
        <f>AND(Calculations!B21,"AAAAAF9/d0o=")</f>
        <v>#VALUE!</v>
      </c>
      <c r="BX3" t="e">
        <f>AND(Calculations!C21,"AAAAAF9/d0s=")</f>
        <v>#VALUE!</v>
      </c>
      <c r="BY3" t="e">
        <f>AND(Calculations!D21,"AAAAAF9/d0w=")</f>
        <v>#VALUE!</v>
      </c>
      <c r="BZ3" t="e">
        <f>AND(Calculations!E21,"AAAAAF9/d00=")</f>
        <v>#VALUE!</v>
      </c>
      <c r="CA3" t="e">
        <f>AND(Calculations!F21,"AAAAAF9/d04=")</f>
        <v>#VALUE!</v>
      </c>
      <c r="CB3" t="e">
        <f>AND(Calculations!G21,"AAAAAF9/d08=")</f>
        <v>#VALUE!</v>
      </c>
      <c r="CC3" t="e">
        <f>AND(Calculations!H21,"AAAAAF9/d1A=")</f>
        <v>#VALUE!</v>
      </c>
      <c r="CD3" t="e">
        <f>AND(Calculations!I21,"AAAAAF9/d1E=")</f>
        <v>#VALUE!</v>
      </c>
      <c r="CE3" t="e">
        <f>AND(Calculations!J21,"AAAAAF9/d1I=")</f>
        <v>#VALUE!</v>
      </c>
      <c r="CF3" t="e">
        <f>AND(Calculations!K21,"AAAAAF9/d1M=")</f>
        <v>#VALUE!</v>
      </c>
      <c r="CG3" t="e">
        <f>AND(Calculations!L21,"AAAAAF9/d1Q=")</f>
        <v>#VALUE!</v>
      </c>
      <c r="CH3" t="e">
        <f>AND(Calculations!M21,"AAAAAF9/d1U=")</f>
        <v>#VALUE!</v>
      </c>
      <c r="CI3" t="e">
        <f>AND(Calculations!N21,"AAAAAF9/d1Y=")</f>
        <v>#VALUE!</v>
      </c>
      <c r="CJ3" t="e">
        <f>AND(Calculations!O21,"AAAAAF9/d1c=")</f>
        <v>#VALUE!</v>
      </c>
      <c r="CK3" t="e">
        <f>AND(Calculations!P21,"AAAAAF9/d1g=")</f>
        <v>#VALUE!</v>
      </c>
      <c r="CL3" t="e">
        <f>AND(Calculations!Q21,"AAAAAF9/d1k=")</f>
        <v>#VALUE!</v>
      </c>
      <c r="CM3">
        <f>IF(Calculations!22:22,"AAAAAF9/d1o=",0)</f>
        <v>0</v>
      </c>
      <c r="CN3" t="e">
        <f>AND(Calculations!A22,"AAAAAF9/d1s=")</f>
        <v>#VALUE!</v>
      </c>
      <c r="CO3" t="e">
        <f>AND(Calculations!B22,"AAAAAF9/d1w=")</f>
        <v>#VALUE!</v>
      </c>
      <c r="CP3" t="e">
        <f>AND(Calculations!C22,"AAAAAF9/d10=")</f>
        <v>#VALUE!</v>
      </c>
      <c r="CQ3" t="e">
        <f>AND(Calculations!D22,"AAAAAF9/d14=")</f>
        <v>#VALUE!</v>
      </c>
      <c r="CR3" t="e">
        <f>AND(Calculations!E22,"AAAAAF9/d18=")</f>
        <v>#VALUE!</v>
      </c>
      <c r="CS3" t="e">
        <f>AND(Calculations!F22,"AAAAAF9/d2A=")</f>
        <v>#VALUE!</v>
      </c>
      <c r="CT3" t="e">
        <f>AND(Calculations!G22,"AAAAAF9/d2E=")</f>
        <v>#VALUE!</v>
      </c>
      <c r="CU3" t="e">
        <f>AND(Calculations!H22,"AAAAAF9/d2I=")</f>
        <v>#VALUE!</v>
      </c>
      <c r="CV3" t="e">
        <f>AND(Calculations!I22,"AAAAAF9/d2M=")</f>
        <v>#VALUE!</v>
      </c>
      <c r="CW3" t="e">
        <f>AND(Calculations!J22,"AAAAAF9/d2Q=")</f>
        <v>#VALUE!</v>
      </c>
      <c r="CX3" t="e">
        <f>AND(Calculations!K22,"AAAAAF9/d2U=")</f>
        <v>#VALUE!</v>
      </c>
      <c r="CY3" t="e">
        <f>AND(Calculations!L22,"AAAAAF9/d2Y=")</f>
        <v>#VALUE!</v>
      </c>
      <c r="CZ3" t="e">
        <f>AND(Calculations!M22,"AAAAAF9/d2c=")</f>
        <v>#VALUE!</v>
      </c>
      <c r="DA3" t="e">
        <f>AND(Calculations!N22,"AAAAAF9/d2g=")</f>
        <v>#VALUE!</v>
      </c>
      <c r="DB3" t="e">
        <f>AND(Calculations!O22,"AAAAAF9/d2k=")</f>
        <v>#VALUE!</v>
      </c>
      <c r="DC3" t="e">
        <f>AND(Calculations!P22,"AAAAAF9/d2o=")</f>
        <v>#VALUE!</v>
      </c>
      <c r="DD3" t="e">
        <f>AND(Calculations!Q22,"AAAAAF9/d2s=")</f>
        <v>#VALUE!</v>
      </c>
      <c r="DE3">
        <f>IF(Calculations!23:23,"AAAAAF9/d2w=",0)</f>
        <v>0</v>
      </c>
      <c r="DF3" t="e">
        <f>AND(Calculations!A23,"AAAAAF9/d20=")</f>
        <v>#VALUE!</v>
      </c>
      <c r="DG3" t="e">
        <f>AND(Calculations!B23,"AAAAAF9/d24=")</f>
        <v>#VALUE!</v>
      </c>
      <c r="DH3" t="e">
        <f>AND(Calculations!C23,"AAAAAF9/d28=")</f>
        <v>#VALUE!</v>
      </c>
      <c r="DI3" t="e">
        <f>AND(Calculations!D23,"AAAAAF9/d3A=")</f>
        <v>#VALUE!</v>
      </c>
      <c r="DJ3" t="e">
        <f>AND(Calculations!E23,"AAAAAF9/d3E=")</f>
        <v>#VALUE!</v>
      </c>
      <c r="DK3" t="e">
        <f>AND(Calculations!F23,"AAAAAF9/d3I=")</f>
        <v>#VALUE!</v>
      </c>
      <c r="DL3" t="e">
        <f>AND(Calculations!G23,"AAAAAF9/d3M=")</f>
        <v>#VALUE!</v>
      </c>
      <c r="DM3" t="e">
        <f>AND(Calculations!H23,"AAAAAF9/d3Q=")</f>
        <v>#VALUE!</v>
      </c>
      <c r="DN3" t="e">
        <f>AND(Calculations!I23,"AAAAAF9/d3U=")</f>
        <v>#VALUE!</v>
      </c>
      <c r="DO3" t="e">
        <f>AND(Calculations!J23,"AAAAAF9/d3Y=")</f>
        <v>#VALUE!</v>
      </c>
      <c r="DP3" t="e">
        <f>AND(Calculations!K23,"AAAAAF9/d3c=")</f>
        <v>#VALUE!</v>
      </c>
      <c r="DQ3" t="e">
        <f>AND(Calculations!L23,"AAAAAF9/d3g=")</f>
        <v>#VALUE!</v>
      </c>
      <c r="DR3" t="e">
        <f>AND(Calculations!M23,"AAAAAF9/d3k=")</f>
        <v>#VALUE!</v>
      </c>
      <c r="DS3" t="e">
        <f>AND(Calculations!N23,"AAAAAF9/d3o=")</f>
        <v>#VALUE!</v>
      </c>
      <c r="DT3" t="e">
        <f>AND(Calculations!O23,"AAAAAF9/d3s=")</f>
        <v>#VALUE!</v>
      </c>
      <c r="DU3" t="e">
        <f>AND(Calculations!P23,"AAAAAF9/d3w=")</f>
        <v>#VALUE!</v>
      </c>
      <c r="DV3" t="e">
        <f>AND(Calculations!Q23,"AAAAAF9/d30=")</f>
        <v>#VALUE!</v>
      </c>
      <c r="DW3">
        <f>IF(Calculations!24:24,"AAAAAF9/d34=",0)</f>
        <v>0</v>
      </c>
      <c r="DX3" t="e">
        <f>AND(Calculations!A24,"AAAAAF9/d38=")</f>
        <v>#VALUE!</v>
      </c>
      <c r="DY3" t="e">
        <f>AND(Calculations!B24,"AAAAAF9/d4A=")</f>
        <v>#VALUE!</v>
      </c>
      <c r="DZ3" t="e">
        <f>AND(Calculations!C24,"AAAAAF9/d4E=")</f>
        <v>#VALUE!</v>
      </c>
      <c r="EA3" t="e">
        <f>AND(Calculations!D24,"AAAAAF9/d4I=")</f>
        <v>#VALUE!</v>
      </c>
      <c r="EB3" t="e">
        <f>AND(Calculations!E24,"AAAAAF9/d4M=")</f>
        <v>#VALUE!</v>
      </c>
      <c r="EC3" t="e">
        <f>AND(Calculations!F24,"AAAAAF9/d4Q=")</f>
        <v>#VALUE!</v>
      </c>
      <c r="ED3" t="e">
        <f>AND(Calculations!G24,"AAAAAF9/d4U=")</f>
        <v>#VALUE!</v>
      </c>
      <c r="EE3" t="e">
        <f>AND(Calculations!H24,"AAAAAF9/d4Y=")</f>
        <v>#VALUE!</v>
      </c>
      <c r="EF3" t="e">
        <f>AND(Calculations!I24,"AAAAAF9/d4c=")</f>
        <v>#VALUE!</v>
      </c>
      <c r="EG3" t="e">
        <f>AND(Calculations!J24,"AAAAAF9/d4g=")</f>
        <v>#VALUE!</v>
      </c>
      <c r="EH3" t="e">
        <f>AND(Calculations!K24,"AAAAAF9/d4k=")</f>
        <v>#VALUE!</v>
      </c>
      <c r="EI3" t="e">
        <f>AND(Calculations!L24,"AAAAAF9/d4o=")</f>
        <v>#VALUE!</v>
      </c>
      <c r="EJ3" t="e">
        <f>AND(Calculations!M24,"AAAAAF9/d4s=")</f>
        <v>#VALUE!</v>
      </c>
      <c r="EK3" t="e">
        <f>AND(Calculations!N24,"AAAAAF9/d4w=")</f>
        <v>#VALUE!</v>
      </c>
      <c r="EL3" t="e">
        <f>AND(Calculations!O24,"AAAAAF9/d40=")</f>
        <v>#VALUE!</v>
      </c>
      <c r="EM3" t="e">
        <f>AND(Calculations!P24,"AAAAAF9/d44=")</f>
        <v>#VALUE!</v>
      </c>
      <c r="EN3" t="e">
        <f>AND(Calculations!Q24,"AAAAAF9/d48=")</f>
        <v>#VALUE!</v>
      </c>
      <c r="EO3">
        <f>IF(Calculations!25:25,"AAAAAF9/d5A=",0)</f>
        <v>0</v>
      </c>
      <c r="EP3" t="e">
        <f>AND(Calculations!A25,"AAAAAF9/d5E=")</f>
        <v>#VALUE!</v>
      </c>
      <c r="EQ3" t="e">
        <f>AND(Calculations!B25,"AAAAAF9/d5I=")</f>
        <v>#VALUE!</v>
      </c>
      <c r="ER3" t="e">
        <f>AND(Calculations!C25,"AAAAAF9/d5M=")</f>
        <v>#VALUE!</v>
      </c>
      <c r="ES3" t="e">
        <f>AND(Calculations!D25,"AAAAAF9/d5Q=")</f>
        <v>#VALUE!</v>
      </c>
      <c r="ET3" t="e">
        <f>AND(Calculations!E25,"AAAAAF9/d5U=")</f>
        <v>#VALUE!</v>
      </c>
      <c r="EU3" t="e">
        <f>AND(Calculations!F25,"AAAAAF9/d5Y=")</f>
        <v>#VALUE!</v>
      </c>
      <c r="EV3" t="e">
        <f>AND(Calculations!G25,"AAAAAF9/d5c=")</f>
        <v>#VALUE!</v>
      </c>
      <c r="EW3" t="e">
        <f>AND(Calculations!H25,"AAAAAF9/d5g=")</f>
        <v>#VALUE!</v>
      </c>
      <c r="EX3" t="e">
        <f>AND(Calculations!I25,"AAAAAF9/d5k=")</f>
        <v>#VALUE!</v>
      </c>
      <c r="EY3" t="e">
        <f>AND(Calculations!J25,"AAAAAF9/d5o=")</f>
        <v>#VALUE!</v>
      </c>
      <c r="EZ3" t="e">
        <f>AND(Calculations!K25,"AAAAAF9/d5s=")</f>
        <v>#VALUE!</v>
      </c>
      <c r="FA3" t="e">
        <f>AND(Calculations!L25,"AAAAAF9/d5w=")</f>
        <v>#VALUE!</v>
      </c>
      <c r="FB3" t="e">
        <f>AND(Calculations!M25,"AAAAAF9/d50=")</f>
        <v>#VALUE!</v>
      </c>
      <c r="FC3" t="e">
        <f>AND(Calculations!N25,"AAAAAF9/d54=")</f>
        <v>#VALUE!</v>
      </c>
      <c r="FD3" t="e">
        <f>AND(Calculations!O25,"AAAAAF9/d58=")</f>
        <v>#VALUE!</v>
      </c>
      <c r="FE3" t="e">
        <f>AND(Calculations!P25,"AAAAAF9/d6A=")</f>
        <v>#VALUE!</v>
      </c>
      <c r="FF3" t="e">
        <f>AND(Calculations!Q25,"AAAAAF9/d6E=")</f>
        <v>#VALUE!</v>
      </c>
      <c r="FG3">
        <f>IF(Calculations!26:26,"AAAAAF9/d6I=",0)</f>
        <v>0</v>
      </c>
      <c r="FH3" t="e">
        <f>AND(Calculations!A26,"AAAAAF9/d6M=")</f>
        <v>#VALUE!</v>
      </c>
      <c r="FI3" t="e">
        <f>AND(Calculations!B26,"AAAAAF9/d6Q=")</f>
        <v>#VALUE!</v>
      </c>
      <c r="FJ3" t="e">
        <f>AND(Calculations!C26,"AAAAAF9/d6U=")</f>
        <v>#VALUE!</v>
      </c>
      <c r="FK3" t="e">
        <f>AND(Calculations!D26,"AAAAAF9/d6Y=")</f>
        <v>#VALUE!</v>
      </c>
      <c r="FL3" t="e">
        <f>AND(Calculations!E26,"AAAAAF9/d6c=")</f>
        <v>#VALUE!</v>
      </c>
      <c r="FM3" t="e">
        <f>AND(Calculations!F26,"AAAAAF9/d6g=")</f>
        <v>#VALUE!</v>
      </c>
      <c r="FN3" t="e">
        <f>AND(Calculations!G26,"AAAAAF9/d6k=")</f>
        <v>#VALUE!</v>
      </c>
      <c r="FO3" t="e">
        <f>AND(Calculations!H26,"AAAAAF9/d6o=")</f>
        <v>#VALUE!</v>
      </c>
      <c r="FP3" t="e">
        <f>AND(Calculations!I26,"AAAAAF9/d6s=")</f>
        <v>#VALUE!</v>
      </c>
      <c r="FQ3" t="e">
        <f>AND(Calculations!J26,"AAAAAF9/d6w=")</f>
        <v>#VALUE!</v>
      </c>
      <c r="FR3" t="e">
        <f>AND(Calculations!K26,"AAAAAF9/d60=")</f>
        <v>#VALUE!</v>
      </c>
      <c r="FS3" t="e">
        <f>AND(Calculations!L26,"AAAAAF9/d64=")</f>
        <v>#VALUE!</v>
      </c>
      <c r="FT3" t="e">
        <f>AND(Calculations!M26,"AAAAAF9/d68=")</f>
        <v>#VALUE!</v>
      </c>
      <c r="FU3" t="e">
        <f>AND(Calculations!N26,"AAAAAF9/d7A=")</f>
        <v>#VALUE!</v>
      </c>
      <c r="FV3" t="e">
        <f>AND(Calculations!O26,"AAAAAF9/d7E=")</f>
        <v>#VALUE!</v>
      </c>
      <c r="FW3" t="e">
        <f>AND(Calculations!P26,"AAAAAF9/d7I=")</f>
        <v>#VALUE!</v>
      </c>
      <c r="FX3" t="e">
        <f>AND(Calculations!Q26,"AAAAAF9/d7M=")</f>
        <v>#VALUE!</v>
      </c>
      <c r="FY3">
        <f>IF(Calculations!27:27,"AAAAAF9/d7Q=",0)</f>
        <v>0</v>
      </c>
      <c r="FZ3" t="e">
        <f>AND(Calculations!A27,"AAAAAF9/d7U=")</f>
        <v>#VALUE!</v>
      </c>
      <c r="GA3" t="e">
        <f>AND(Calculations!B27,"AAAAAF9/d7Y=")</f>
        <v>#VALUE!</v>
      </c>
      <c r="GB3" t="e">
        <f>AND(Calculations!C27,"AAAAAF9/d7c=")</f>
        <v>#VALUE!</v>
      </c>
      <c r="GC3" t="e">
        <f>AND(Calculations!D27,"AAAAAF9/d7g=")</f>
        <v>#VALUE!</v>
      </c>
      <c r="GD3" t="e">
        <f>AND(Calculations!E27,"AAAAAF9/d7k=")</f>
        <v>#VALUE!</v>
      </c>
      <c r="GE3" t="e">
        <f>AND(Calculations!F27,"AAAAAF9/d7o=")</f>
        <v>#VALUE!</v>
      </c>
      <c r="GF3" t="e">
        <f>AND(Calculations!G27,"AAAAAF9/d7s=")</f>
        <v>#VALUE!</v>
      </c>
      <c r="GG3" t="e">
        <f>AND(Calculations!H27,"AAAAAF9/d7w=")</f>
        <v>#VALUE!</v>
      </c>
      <c r="GH3" t="e">
        <f>AND(Calculations!I27,"AAAAAF9/d70=")</f>
        <v>#VALUE!</v>
      </c>
      <c r="GI3" t="e">
        <f>AND(Calculations!J27,"AAAAAF9/d74=")</f>
        <v>#VALUE!</v>
      </c>
      <c r="GJ3" t="e">
        <f>AND(Calculations!K27,"AAAAAF9/d78=")</f>
        <v>#VALUE!</v>
      </c>
      <c r="GK3" t="e">
        <f>AND(Calculations!L27,"AAAAAF9/d8A=")</f>
        <v>#VALUE!</v>
      </c>
      <c r="GL3" t="e">
        <f>AND(Calculations!M27,"AAAAAF9/d8E=")</f>
        <v>#VALUE!</v>
      </c>
      <c r="GM3" t="e">
        <f>AND(Calculations!N27,"AAAAAF9/d8I=")</f>
        <v>#VALUE!</v>
      </c>
      <c r="GN3" t="e">
        <f>AND(Calculations!O27,"AAAAAF9/d8M=")</f>
        <v>#VALUE!</v>
      </c>
      <c r="GO3" t="e">
        <f>AND(Calculations!P27,"AAAAAF9/d8Q=")</f>
        <v>#VALUE!</v>
      </c>
      <c r="GP3" t="e">
        <f>AND(Calculations!Q27,"AAAAAF9/d8U=")</f>
        <v>#VALUE!</v>
      </c>
      <c r="GQ3">
        <f>IF(Calculations!28:28,"AAAAAF9/d8Y=",0)</f>
        <v>0</v>
      </c>
      <c r="GR3" t="e">
        <f>AND(Calculations!A28,"AAAAAF9/d8c=")</f>
        <v>#VALUE!</v>
      </c>
      <c r="GS3" t="e">
        <f>AND(Calculations!B28,"AAAAAF9/d8g=")</f>
        <v>#VALUE!</v>
      </c>
      <c r="GT3" t="e">
        <f>AND(Calculations!C28,"AAAAAF9/d8k=")</f>
        <v>#VALUE!</v>
      </c>
      <c r="GU3" t="e">
        <f>AND(Calculations!D28,"AAAAAF9/d8o=")</f>
        <v>#VALUE!</v>
      </c>
      <c r="GV3" t="e">
        <f>AND(Calculations!E28,"AAAAAF9/d8s=")</f>
        <v>#VALUE!</v>
      </c>
      <c r="GW3" t="e">
        <f>AND(Calculations!F28,"AAAAAF9/d8w=")</f>
        <v>#VALUE!</v>
      </c>
      <c r="GX3" t="e">
        <f>AND(Calculations!G28,"AAAAAF9/d80=")</f>
        <v>#VALUE!</v>
      </c>
      <c r="GY3" t="e">
        <f>AND(Calculations!H28,"AAAAAF9/d84=")</f>
        <v>#VALUE!</v>
      </c>
      <c r="GZ3" t="e">
        <f>AND(Calculations!I28,"AAAAAF9/d88=")</f>
        <v>#VALUE!</v>
      </c>
      <c r="HA3" t="e">
        <f>AND(Calculations!J28,"AAAAAF9/d9A=")</f>
        <v>#VALUE!</v>
      </c>
      <c r="HB3" t="e">
        <f>AND(Calculations!K28,"AAAAAF9/d9E=")</f>
        <v>#VALUE!</v>
      </c>
      <c r="HC3" t="e">
        <f>AND(Calculations!L28,"AAAAAF9/d9I=")</f>
        <v>#VALUE!</v>
      </c>
      <c r="HD3" t="e">
        <f>AND(Calculations!M28,"AAAAAF9/d9M=")</f>
        <v>#VALUE!</v>
      </c>
      <c r="HE3" t="e">
        <f>AND(Calculations!N28,"AAAAAF9/d9Q=")</f>
        <v>#VALUE!</v>
      </c>
      <c r="HF3" t="e">
        <f>AND(Calculations!O28,"AAAAAF9/d9U=")</f>
        <v>#VALUE!</v>
      </c>
      <c r="HG3" t="e">
        <f>AND(Calculations!P28,"AAAAAF9/d9Y=")</f>
        <v>#VALUE!</v>
      </c>
      <c r="HH3" t="e">
        <f>AND(Calculations!Q28,"AAAAAF9/d9c=")</f>
        <v>#VALUE!</v>
      </c>
      <c r="HI3">
        <f>IF(Calculations!29:29,"AAAAAF9/d9g=",0)</f>
        <v>0</v>
      </c>
      <c r="HJ3" t="e">
        <f>AND(Calculations!A29,"AAAAAF9/d9k=")</f>
        <v>#VALUE!</v>
      </c>
      <c r="HK3" t="e">
        <f>AND(Calculations!B29,"AAAAAF9/d9o=")</f>
        <v>#VALUE!</v>
      </c>
      <c r="HL3" t="e">
        <f>AND(Calculations!C29,"AAAAAF9/d9s=")</f>
        <v>#VALUE!</v>
      </c>
      <c r="HM3" t="e">
        <f>AND(Calculations!D29,"AAAAAF9/d9w=")</f>
        <v>#VALUE!</v>
      </c>
      <c r="HN3" t="e">
        <f>AND(Calculations!E29,"AAAAAF9/d90=")</f>
        <v>#VALUE!</v>
      </c>
      <c r="HO3" t="e">
        <f>AND(Calculations!F29,"AAAAAF9/d94=")</f>
        <v>#VALUE!</v>
      </c>
      <c r="HP3" t="e">
        <f>AND(Calculations!G29,"AAAAAF9/d98=")</f>
        <v>#VALUE!</v>
      </c>
      <c r="HQ3" t="e">
        <f>AND(Calculations!H29,"AAAAAF9/d+A=")</f>
        <v>#VALUE!</v>
      </c>
      <c r="HR3" t="e">
        <f>AND(Calculations!I29,"AAAAAF9/d+E=")</f>
        <v>#VALUE!</v>
      </c>
      <c r="HS3" t="e">
        <f>AND(Calculations!J29,"AAAAAF9/d+I=")</f>
        <v>#VALUE!</v>
      </c>
      <c r="HT3" t="e">
        <f>AND(Calculations!K29,"AAAAAF9/d+M=")</f>
        <v>#VALUE!</v>
      </c>
      <c r="HU3" t="e">
        <f>AND(Calculations!L29,"AAAAAF9/d+Q=")</f>
        <v>#VALUE!</v>
      </c>
      <c r="HV3" t="e">
        <f>AND(Calculations!M29,"AAAAAF9/d+U=")</f>
        <v>#VALUE!</v>
      </c>
      <c r="HW3" t="e">
        <f>AND(Calculations!N29,"AAAAAF9/d+Y=")</f>
        <v>#VALUE!</v>
      </c>
      <c r="HX3" t="e">
        <f>AND(Calculations!O29,"AAAAAF9/d+c=")</f>
        <v>#VALUE!</v>
      </c>
      <c r="HY3" t="e">
        <f>AND(Calculations!P29,"AAAAAF9/d+g=")</f>
        <v>#VALUE!</v>
      </c>
      <c r="HZ3" t="e">
        <f>AND(Calculations!Q29,"AAAAAF9/d+k=")</f>
        <v>#VALUE!</v>
      </c>
      <c r="IA3">
        <f>IF(Calculations!30:30,"AAAAAF9/d+o=",0)</f>
        <v>0</v>
      </c>
      <c r="IB3" t="e">
        <f>AND(Calculations!A30,"AAAAAF9/d+s=")</f>
        <v>#VALUE!</v>
      </c>
      <c r="IC3" t="e">
        <f>AND(Calculations!B30,"AAAAAF9/d+w=")</f>
        <v>#VALUE!</v>
      </c>
      <c r="ID3" t="e">
        <f>AND(Calculations!C30,"AAAAAF9/d+0=")</f>
        <v>#VALUE!</v>
      </c>
      <c r="IE3" t="e">
        <f>AND(Calculations!D30,"AAAAAF9/d+4=")</f>
        <v>#VALUE!</v>
      </c>
      <c r="IF3" t="e">
        <f>AND(Calculations!E30,"AAAAAF9/d+8=")</f>
        <v>#VALUE!</v>
      </c>
      <c r="IG3" t="e">
        <f>AND(Calculations!F30,"AAAAAF9/d/A=")</f>
        <v>#VALUE!</v>
      </c>
      <c r="IH3" t="e">
        <f>AND(Calculations!G30,"AAAAAF9/d/E=")</f>
        <v>#VALUE!</v>
      </c>
      <c r="II3" t="e">
        <f>AND(Calculations!H30,"AAAAAF9/d/I=")</f>
        <v>#VALUE!</v>
      </c>
      <c r="IJ3" t="e">
        <f>AND(Calculations!I30,"AAAAAF9/d/M=")</f>
        <v>#VALUE!</v>
      </c>
      <c r="IK3" t="e">
        <f>AND(Calculations!J30,"AAAAAF9/d/Q=")</f>
        <v>#VALUE!</v>
      </c>
      <c r="IL3" t="e">
        <f>AND(Calculations!K30,"AAAAAF9/d/U=")</f>
        <v>#VALUE!</v>
      </c>
      <c r="IM3" t="e">
        <f>AND(Calculations!L30,"AAAAAF9/d/Y=")</f>
        <v>#VALUE!</v>
      </c>
      <c r="IN3" t="e">
        <f>AND(Calculations!M30,"AAAAAF9/d/c=")</f>
        <v>#VALUE!</v>
      </c>
      <c r="IO3" t="e">
        <f>AND(Calculations!N30,"AAAAAF9/d/g=")</f>
        <v>#VALUE!</v>
      </c>
      <c r="IP3" t="e">
        <f>AND(Calculations!O30,"AAAAAF9/d/k=")</f>
        <v>#VALUE!</v>
      </c>
      <c r="IQ3" t="e">
        <f>AND(Calculations!P30,"AAAAAF9/d/o=")</f>
        <v>#VALUE!</v>
      </c>
      <c r="IR3" t="e">
        <f>AND(Calculations!Q30,"AAAAAF9/d/s=")</f>
        <v>#VALUE!</v>
      </c>
      <c r="IS3">
        <f>IF(Calculations!31:31,"AAAAAF9/d/w=",0)</f>
        <v>0</v>
      </c>
      <c r="IT3" t="e">
        <f>AND(Calculations!A31,"AAAAAF9/d/0=")</f>
        <v>#VALUE!</v>
      </c>
      <c r="IU3" t="e">
        <f>AND(Calculations!B31,"AAAAAF9/d/4=")</f>
        <v>#VALUE!</v>
      </c>
      <c r="IV3" t="e">
        <f>AND(Calculations!C31,"AAAAAF9/d/8=")</f>
        <v>#VALUE!</v>
      </c>
    </row>
    <row r="4" spans="1:256" x14ac:dyDescent="0.25">
      <c r="A4" t="e">
        <f>AND(Calculations!D31,"AAAAAFf9fwA=")</f>
        <v>#VALUE!</v>
      </c>
      <c r="B4" t="e">
        <f>AND(Calculations!E31,"AAAAAFf9fwE=")</f>
        <v>#VALUE!</v>
      </c>
      <c r="C4" t="e">
        <f>AND(Calculations!F31,"AAAAAFf9fwI=")</f>
        <v>#VALUE!</v>
      </c>
      <c r="D4" t="e">
        <f>AND(Calculations!G31,"AAAAAFf9fwM=")</f>
        <v>#VALUE!</v>
      </c>
      <c r="E4" t="e">
        <f>AND(Calculations!H31,"AAAAAFf9fwQ=")</f>
        <v>#VALUE!</v>
      </c>
      <c r="F4" t="e">
        <f>AND(Calculations!I31,"AAAAAFf9fwU=")</f>
        <v>#VALUE!</v>
      </c>
      <c r="G4" t="e">
        <f>AND(Calculations!J31,"AAAAAFf9fwY=")</f>
        <v>#VALUE!</v>
      </c>
      <c r="H4" t="e">
        <f>AND(Calculations!K31,"AAAAAFf9fwc=")</f>
        <v>#VALUE!</v>
      </c>
      <c r="I4" t="e">
        <f>AND(Calculations!L31,"AAAAAFf9fwg=")</f>
        <v>#VALUE!</v>
      </c>
      <c r="J4" t="e">
        <f>AND(Calculations!M31,"AAAAAFf9fwk=")</f>
        <v>#VALUE!</v>
      </c>
      <c r="K4" t="e">
        <f>AND(Calculations!N31,"AAAAAFf9fwo=")</f>
        <v>#VALUE!</v>
      </c>
      <c r="L4" t="e">
        <f>AND(Calculations!O31,"AAAAAFf9fws=")</f>
        <v>#VALUE!</v>
      </c>
      <c r="M4" t="e">
        <f>AND(Calculations!P31,"AAAAAFf9fww=")</f>
        <v>#VALUE!</v>
      </c>
      <c r="N4" t="e">
        <f>AND(Calculations!Q31,"AAAAAFf9fw0=")</f>
        <v>#VALUE!</v>
      </c>
      <c r="O4">
        <f>IF(Calculations!32:32,"AAAAAFf9fw4=",0)</f>
        <v>0</v>
      </c>
      <c r="P4" t="e">
        <f>AND(Calculations!A32,"AAAAAFf9fw8=")</f>
        <v>#VALUE!</v>
      </c>
      <c r="Q4" t="e">
        <f>AND(Calculations!B32,"AAAAAFf9fxA=")</f>
        <v>#VALUE!</v>
      </c>
      <c r="R4" t="e">
        <f>AND(Calculations!C32,"AAAAAFf9fxE=")</f>
        <v>#VALUE!</v>
      </c>
      <c r="S4" t="e">
        <f>AND(Calculations!D32,"AAAAAFf9fxI=")</f>
        <v>#VALUE!</v>
      </c>
      <c r="T4" t="e">
        <f>AND(Calculations!E32,"AAAAAFf9fxM=")</f>
        <v>#VALUE!</v>
      </c>
      <c r="U4" t="e">
        <f>AND(Calculations!F32,"AAAAAFf9fxQ=")</f>
        <v>#VALUE!</v>
      </c>
      <c r="V4" t="e">
        <f>AND(Calculations!G32,"AAAAAFf9fxU=")</f>
        <v>#VALUE!</v>
      </c>
      <c r="W4" t="e">
        <f>AND(Calculations!H32,"AAAAAFf9fxY=")</f>
        <v>#VALUE!</v>
      </c>
      <c r="X4" t="e">
        <f>AND(Calculations!I32,"AAAAAFf9fxc=")</f>
        <v>#VALUE!</v>
      </c>
      <c r="Y4" t="e">
        <f>AND(Calculations!J32,"AAAAAFf9fxg=")</f>
        <v>#VALUE!</v>
      </c>
      <c r="Z4" t="e">
        <f>AND(Calculations!K32,"AAAAAFf9fxk=")</f>
        <v>#VALUE!</v>
      </c>
      <c r="AA4" t="e">
        <f>AND(Calculations!L32,"AAAAAFf9fxo=")</f>
        <v>#VALUE!</v>
      </c>
      <c r="AB4" t="e">
        <f>AND(Calculations!M32,"AAAAAFf9fxs=")</f>
        <v>#VALUE!</v>
      </c>
      <c r="AC4" t="e">
        <f>AND(Calculations!N32,"AAAAAFf9fxw=")</f>
        <v>#VALUE!</v>
      </c>
      <c r="AD4" t="e">
        <f>AND(Calculations!O32,"AAAAAFf9fx0=")</f>
        <v>#VALUE!</v>
      </c>
      <c r="AE4" t="e">
        <f>AND(Calculations!P32,"AAAAAFf9fx4=")</f>
        <v>#VALUE!</v>
      </c>
      <c r="AF4" t="e">
        <f>AND(Calculations!Q32,"AAAAAFf9fx8=")</f>
        <v>#VALUE!</v>
      </c>
      <c r="AG4">
        <f>IF(Calculations!33:33,"AAAAAFf9fyA=",0)</f>
        <v>0</v>
      </c>
      <c r="AH4" t="e">
        <f>AND(Calculations!A33,"AAAAAFf9fyE=")</f>
        <v>#VALUE!</v>
      </c>
      <c r="AI4" t="e">
        <f>AND(Calculations!B33,"AAAAAFf9fyI=")</f>
        <v>#VALUE!</v>
      </c>
      <c r="AJ4" t="e">
        <f>AND(Calculations!C33,"AAAAAFf9fyM=")</f>
        <v>#VALUE!</v>
      </c>
      <c r="AK4" t="e">
        <f>AND(Calculations!D33,"AAAAAFf9fyQ=")</f>
        <v>#VALUE!</v>
      </c>
      <c r="AL4" t="e">
        <f>AND(Calculations!E33,"AAAAAFf9fyU=")</f>
        <v>#VALUE!</v>
      </c>
      <c r="AM4" t="e">
        <f>AND(Calculations!F33,"AAAAAFf9fyY=")</f>
        <v>#VALUE!</v>
      </c>
      <c r="AN4" t="e">
        <f>AND(Calculations!G33,"AAAAAFf9fyc=")</f>
        <v>#VALUE!</v>
      </c>
      <c r="AO4" t="e">
        <f>AND(Calculations!H33,"AAAAAFf9fyg=")</f>
        <v>#VALUE!</v>
      </c>
      <c r="AP4" t="e">
        <f>AND(Calculations!I33,"AAAAAFf9fyk=")</f>
        <v>#VALUE!</v>
      </c>
      <c r="AQ4" t="e">
        <f>AND(Calculations!J33,"AAAAAFf9fyo=")</f>
        <v>#VALUE!</v>
      </c>
      <c r="AR4" t="e">
        <f>AND(Calculations!K33,"AAAAAFf9fys=")</f>
        <v>#VALUE!</v>
      </c>
      <c r="AS4" t="e">
        <f>AND(Calculations!L33,"AAAAAFf9fyw=")</f>
        <v>#VALUE!</v>
      </c>
      <c r="AT4" t="e">
        <f>AND(Calculations!M33,"AAAAAFf9fy0=")</f>
        <v>#VALUE!</v>
      </c>
      <c r="AU4" t="e">
        <f>AND(Calculations!N33,"AAAAAFf9fy4=")</f>
        <v>#VALUE!</v>
      </c>
      <c r="AV4" t="e">
        <f>AND(Calculations!O33,"AAAAAFf9fy8=")</f>
        <v>#VALUE!</v>
      </c>
      <c r="AW4" t="e">
        <f>AND(Calculations!P33,"AAAAAFf9fzA=")</f>
        <v>#VALUE!</v>
      </c>
      <c r="AX4" t="e">
        <f>AND(Calculations!Q33,"AAAAAFf9fzE=")</f>
        <v>#VALUE!</v>
      </c>
      <c r="AY4">
        <f>IF(Calculations!34:34,"AAAAAFf9fzI=",0)</f>
        <v>0</v>
      </c>
      <c r="AZ4" t="e">
        <f>AND(Calculations!A34,"AAAAAFf9fzM=")</f>
        <v>#VALUE!</v>
      </c>
      <c r="BA4" t="e">
        <f>AND(Calculations!B34,"AAAAAFf9fzQ=")</f>
        <v>#VALUE!</v>
      </c>
      <c r="BB4" t="e">
        <f>AND(Calculations!C34,"AAAAAFf9fzU=")</f>
        <v>#VALUE!</v>
      </c>
      <c r="BC4" t="e">
        <f>AND(Calculations!D34,"AAAAAFf9fzY=")</f>
        <v>#VALUE!</v>
      </c>
      <c r="BD4" t="e">
        <f>AND(Calculations!E34,"AAAAAFf9fzc=")</f>
        <v>#VALUE!</v>
      </c>
      <c r="BE4" t="e">
        <f>AND(Calculations!F34,"AAAAAFf9fzg=")</f>
        <v>#VALUE!</v>
      </c>
      <c r="BF4" t="e">
        <f>AND(Calculations!G34,"AAAAAFf9fzk=")</f>
        <v>#VALUE!</v>
      </c>
      <c r="BG4" t="e">
        <f>AND(Calculations!H34,"AAAAAFf9fzo=")</f>
        <v>#VALUE!</v>
      </c>
      <c r="BH4" t="e">
        <f>AND(Calculations!I34,"AAAAAFf9fzs=")</f>
        <v>#VALUE!</v>
      </c>
      <c r="BI4" t="e">
        <f>AND(Calculations!J34,"AAAAAFf9fzw=")</f>
        <v>#VALUE!</v>
      </c>
      <c r="BJ4" t="e">
        <f>AND(Calculations!K34,"AAAAAFf9fz0=")</f>
        <v>#VALUE!</v>
      </c>
      <c r="BK4" t="e">
        <f>AND(Calculations!L34,"AAAAAFf9fz4=")</f>
        <v>#VALUE!</v>
      </c>
      <c r="BL4" t="e">
        <f>AND(Calculations!M34,"AAAAAFf9fz8=")</f>
        <v>#VALUE!</v>
      </c>
      <c r="BM4" t="e">
        <f>AND(Calculations!N34,"AAAAAFf9f0A=")</f>
        <v>#VALUE!</v>
      </c>
      <c r="BN4" t="e">
        <f>AND(Calculations!O34,"AAAAAFf9f0E=")</f>
        <v>#VALUE!</v>
      </c>
      <c r="BO4" t="e">
        <f>AND(Calculations!P34,"AAAAAFf9f0I=")</f>
        <v>#VALUE!</v>
      </c>
      <c r="BP4" t="e">
        <f>AND(Calculations!Q34,"AAAAAFf9f0M=")</f>
        <v>#VALUE!</v>
      </c>
      <c r="BQ4">
        <f>IF(Calculations!35:35,"AAAAAFf9f0Q=",0)</f>
        <v>0</v>
      </c>
      <c r="BR4" t="e">
        <f>AND(Calculations!A35,"AAAAAFf9f0U=")</f>
        <v>#VALUE!</v>
      </c>
      <c r="BS4" t="e">
        <f>AND(Calculations!B35,"AAAAAFf9f0Y=")</f>
        <v>#VALUE!</v>
      </c>
      <c r="BT4" t="e">
        <f>AND(Calculations!C35,"AAAAAFf9f0c=")</f>
        <v>#VALUE!</v>
      </c>
      <c r="BU4" t="e">
        <f>AND(Calculations!D35,"AAAAAFf9f0g=")</f>
        <v>#VALUE!</v>
      </c>
      <c r="BV4" t="e">
        <f>AND(Calculations!E35,"AAAAAFf9f0k=")</f>
        <v>#VALUE!</v>
      </c>
      <c r="BW4" t="e">
        <f>AND(Calculations!F35,"AAAAAFf9f0o=")</f>
        <v>#VALUE!</v>
      </c>
      <c r="BX4" t="e">
        <f>AND(Calculations!G35,"AAAAAFf9f0s=")</f>
        <v>#VALUE!</v>
      </c>
      <c r="BY4" t="e">
        <f>AND(Calculations!H35,"AAAAAFf9f0w=")</f>
        <v>#VALUE!</v>
      </c>
      <c r="BZ4" t="e">
        <f>AND(Calculations!I35,"AAAAAFf9f00=")</f>
        <v>#VALUE!</v>
      </c>
      <c r="CA4" t="e">
        <f>AND(Calculations!J35,"AAAAAFf9f04=")</f>
        <v>#VALUE!</v>
      </c>
      <c r="CB4" t="e">
        <f>AND(Calculations!K35,"AAAAAFf9f08=")</f>
        <v>#VALUE!</v>
      </c>
      <c r="CC4" t="e">
        <f>AND(Calculations!L35,"AAAAAFf9f1A=")</f>
        <v>#VALUE!</v>
      </c>
      <c r="CD4" t="e">
        <f>AND(Calculations!M35,"AAAAAFf9f1E=")</f>
        <v>#VALUE!</v>
      </c>
      <c r="CE4" t="e">
        <f>AND(Calculations!N35,"AAAAAFf9f1I=")</f>
        <v>#VALUE!</v>
      </c>
      <c r="CF4" t="e">
        <f>AND(Calculations!O35,"AAAAAFf9f1M=")</f>
        <v>#VALUE!</v>
      </c>
      <c r="CG4" t="e">
        <f>AND(Calculations!P35,"AAAAAFf9f1Q=")</f>
        <v>#VALUE!</v>
      </c>
      <c r="CH4" t="e">
        <f>AND(Calculations!Q35,"AAAAAFf9f1U=")</f>
        <v>#VALUE!</v>
      </c>
      <c r="CI4">
        <f>IF(Calculations!36:36,"AAAAAFf9f1Y=",0)</f>
        <v>0</v>
      </c>
      <c r="CJ4" t="e">
        <f>AND(Calculations!A36,"AAAAAFf9f1c=")</f>
        <v>#VALUE!</v>
      </c>
      <c r="CK4" t="e">
        <f>AND(Calculations!B36,"AAAAAFf9f1g=")</f>
        <v>#VALUE!</v>
      </c>
      <c r="CL4" t="e">
        <f>AND(Calculations!C36,"AAAAAFf9f1k=")</f>
        <v>#VALUE!</v>
      </c>
      <c r="CM4" t="e">
        <f>AND(Calculations!D36,"AAAAAFf9f1o=")</f>
        <v>#VALUE!</v>
      </c>
      <c r="CN4" t="e">
        <f>AND(Calculations!E36,"AAAAAFf9f1s=")</f>
        <v>#VALUE!</v>
      </c>
      <c r="CO4" t="e">
        <f>AND(Calculations!F36,"AAAAAFf9f1w=")</f>
        <v>#VALUE!</v>
      </c>
      <c r="CP4" t="e">
        <f>AND(Calculations!G36,"AAAAAFf9f10=")</f>
        <v>#VALUE!</v>
      </c>
      <c r="CQ4" t="e">
        <f>AND(Calculations!H36,"AAAAAFf9f14=")</f>
        <v>#VALUE!</v>
      </c>
      <c r="CR4" t="e">
        <f>AND(Calculations!I36,"AAAAAFf9f18=")</f>
        <v>#VALUE!</v>
      </c>
      <c r="CS4" t="e">
        <f>AND(Calculations!J36,"AAAAAFf9f2A=")</f>
        <v>#VALUE!</v>
      </c>
      <c r="CT4" t="e">
        <f>AND(Calculations!K36,"AAAAAFf9f2E=")</f>
        <v>#VALUE!</v>
      </c>
      <c r="CU4" t="e">
        <f>AND(Calculations!L36,"AAAAAFf9f2I=")</f>
        <v>#VALUE!</v>
      </c>
      <c r="CV4" t="e">
        <f>AND(Calculations!M36,"AAAAAFf9f2M=")</f>
        <v>#VALUE!</v>
      </c>
      <c r="CW4" t="e">
        <f>AND(Calculations!N36,"AAAAAFf9f2Q=")</f>
        <v>#VALUE!</v>
      </c>
      <c r="CX4" t="e">
        <f>AND(Calculations!O36,"AAAAAFf9f2U=")</f>
        <v>#VALUE!</v>
      </c>
      <c r="CY4" t="e">
        <f>AND(Calculations!P36,"AAAAAFf9f2Y=")</f>
        <v>#VALUE!</v>
      </c>
      <c r="CZ4" t="e">
        <f>AND(Calculations!Q36,"AAAAAFf9f2c=")</f>
        <v>#VALUE!</v>
      </c>
      <c r="DA4">
        <f>IF(Calculations!37:37,"AAAAAFf9f2g=",0)</f>
        <v>0</v>
      </c>
      <c r="DB4" t="e">
        <f>AND(Calculations!A37,"AAAAAFf9f2k=")</f>
        <v>#VALUE!</v>
      </c>
      <c r="DC4" t="e">
        <f>AND(Calculations!B37,"AAAAAFf9f2o=")</f>
        <v>#VALUE!</v>
      </c>
      <c r="DD4" t="e">
        <f>AND(Calculations!C37,"AAAAAFf9f2s=")</f>
        <v>#VALUE!</v>
      </c>
      <c r="DE4" t="e">
        <f>AND(Calculations!D37,"AAAAAFf9f2w=")</f>
        <v>#VALUE!</v>
      </c>
      <c r="DF4" t="e">
        <f>AND(Calculations!E37,"AAAAAFf9f20=")</f>
        <v>#VALUE!</v>
      </c>
      <c r="DG4" t="e">
        <f>AND(Calculations!F37,"AAAAAFf9f24=")</f>
        <v>#VALUE!</v>
      </c>
      <c r="DH4" t="e">
        <f>AND(Calculations!G37,"AAAAAFf9f28=")</f>
        <v>#VALUE!</v>
      </c>
      <c r="DI4" t="e">
        <f>AND(Calculations!H37,"AAAAAFf9f3A=")</f>
        <v>#VALUE!</v>
      </c>
      <c r="DJ4" t="e">
        <f>AND(Calculations!I37,"AAAAAFf9f3E=")</f>
        <v>#VALUE!</v>
      </c>
      <c r="DK4" t="e">
        <f>AND(Calculations!J37,"AAAAAFf9f3I=")</f>
        <v>#VALUE!</v>
      </c>
      <c r="DL4" t="e">
        <f>AND(Calculations!K37,"AAAAAFf9f3M=")</f>
        <v>#VALUE!</v>
      </c>
      <c r="DM4" t="e">
        <f>AND(Calculations!L37,"AAAAAFf9f3Q=")</f>
        <v>#VALUE!</v>
      </c>
      <c r="DN4" t="e">
        <f>AND(Calculations!M37,"AAAAAFf9f3U=")</f>
        <v>#VALUE!</v>
      </c>
      <c r="DO4" t="e">
        <f>AND(Calculations!N37,"AAAAAFf9f3Y=")</f>
        <v>#VALUE!</v>
      </c>
      <c r="DP4" t="e">
        <f>AND(Calculations!O37,"AAAAAFf9f3c=")</f>
        <v>#VALUE!</v>
      </c>
      <c r="DQ4" t="e">
        <f>AND(Calculations!P37,"AAAAAFf9f3g=")</f>
        <v>#VALUE!</v>
      </c>
      <c r="DR4" t="e">
        <f>AND(Calculations!Q37,"AAAAAFf9f3k=")</f>
        <v>#VALUE!</v>
      </c>
      <c r="DS4">
        <f>IF(Calculations!38:38,"AAAAAFf9f3o=",0)</f>
        <v>0</v>
      </c>
      <c r="DT4" t="e">
        <f>AND(Calculations!A38,"AAAAAFf9f3s=")</f>
        <v>#VALUE!</v>
      </c>
      <c r="DU4" t="e">
        <f>AND(Calculations!B38,"AAAAAFf9f3w=")</f>
        <v>#VALUE!</v>
      </c>
      <c r="DV4" t="e">
        <f>AND(Calculations!C38,"AAAAAFf9f30=")</f>
        <v>#VALUE!</v>
      </c>
      <c r="DW4" t="e">
        <f>AND(Calculations!D38,"AAAAAFf9f34=")</f>
        <v>#VALUE!</v>
      </c>
      <c r="DX4" t="e">
        <f>AND(Calculations!E38,"AAAAAFf9f38=")</f>
        <v>#VALUE!</v>
      </c>
      <c r="DY4" t="e">
        <f>AND(Calculations!F38,"AAAAAFf9f4A=")</f>
        <v>#VALUE!</v>
      </c>
      <c r="DZ4" t="e">
        <f>AND(Calculations!G38,"AAAAAFf9f4E=")</f>
        <v>#VALUE!</v>
      </c>
      <c r="EA4" t="e">
        <f>AND(Calculations!H38,"AAAAAFf9f4I=")</f>
        <v>#VALUE!</v>
      </c>
      <c r="EB4" t="e">
        <f>AND(Calculations!I38,"AAAAAFf9f4M=")</f>
        <v>#VALUE!</v>
      </c>
      <c r="EC4" t="e">
        <f>AND(Calculations!J38,"AAAAAFf9f4Q=")</f>
        <v>#VALUE!</v>
      </c>
      <c r="ED4" t="e">
        <f>AND(Calculations!K38,"AAAAAFf9f4U=")</f>
        <v>#VALUE!</v>
      </c>
      <c r="EE4" t="e">
        <f>AND(Calculations!L38,"AAAAAFf9f4Y=")</f>
        <v>#VALUE!</v>
      </c>
      <c r="EF4" t="e">
        <f>AND(Calculations!M38,"AAAAAFf9f4c=")</f>
        <v>#VALUE!</v>
      </c>
      <c r="EG4" t="e">
        <f>AND(Calculations!N38,"AAAAAFf9f4g=")</f>
        <v>#VALUE!</v>
      </c>
      <c r="EH4" t="e">
        <f>AND(Calculations!O38,"AAAAAFf9f4k=")</f>
        <v>#VALUE!</v>
      </c>
      <c r="EI4" t="e">
        <f>AND(Calculations!P38,"AAAAAFf9f4o=")</f>
        <v>#VALUE!</v>
      </c>
      <c r="EJ4" t="e">
        <f>AND(Calculations!Q38,"AAAAAFf9f4s=")</f>
        <v>#VALUE!</v>
      </c>
      <c r="EK4">
        <f>IF(Calculations!39:39,"AAAAAFf9f4w=",0)</f>
        <v>0</v>
      </c>
      <c r="EL4" t="e">
        <f>AND(Calculations!A39,"AAAAAFf9f40=")</f>
        <v>#VALUE!</v>
      </c>
      <c r="EM4" t="e">
        <f>AND(Calculations!B39,"AAAAAFf9f44=")</f>
        <v>#VALUE!</v>
      </c>
      <c r="EN4" t="e">
        <f>AND(Calculations!C39,"AAAAAFf9f48=")</f>
        <v>#VALUE!</v>
      </c>
      <c r="EO4" t="e">
        <f>AND(Calculations!D39,"AAAAAFf9f5A=")</f>
        <v>#VALUE!</v>
      </c>
      <c r="EP4" t="e">
        <f>AND(Calculations!E39,"AAAAAFf9f5E=")</f>
        <v>#VALUE!</v>
      </c>
      <c r="EQ4" t="e">
        <f>AND(Calculations!F39,"AAAAAFf9f5I=")</f>
        <v>#VALUE!</v>
      </c>
      <c r="ER4" t="e">
        <f>AND(Calculations!G39,"AAAAAFf9f5M=")</f>
        <v>#VALUE!</v>
      </c>
      <c r="ES4" t="e">
        <f>AND(Calculations!H39,"AAAAAFf9f5Q=")</f>
        <v>#VALUE!</v>
      </c>
      <c r="ET4" t="e">
        <f>AND(Calculations!I39,"AAAAAFf9f5U=")</f>
        <v>#VALUE!</v>
      </c>
      <c r="EU4" t="e">
        <f>AND(Calculations!J39,"AAAAAFf9f5Y=")</f>
        <v>#VALUE!</v>
      </c>
      <c r="EV4" t="e">
        <f>AND(Calculations!K39,"AAAAAFf9f5c=")</f>
        <v>#VALUE!</v>
      </c>
      <c r="EW4" t="e">
        <f>AND(Calculations!L39,"AAAAAFf9f5g=")</f>
        <v>#VALUE!</v>
      </c>
      <c r="EX4" t="e">
        <f>AND(Calculations!M39,"AAAAAFf9f5k=")</f>
        <v>#VALUE!</v>
      </c>
      <c r="EY4" t="e">
        <f>AND(Calculations!N39,"AAAAAFf9f5o=")</f>
        <v>#VALUE!</v>
      </c>
      <c r="EZ4" t="e">
        <f>AND(Calculations!O39,"AAAAAFf9f5s=")</f>
        <v>#VALUE!</v>
      </c>
      <c r="FA4" t="e">
        <f>AND(Calculations!P39,"AAAAAFf9f5w=")</f>
        <v>#VALUE!</v>
      </c>
      <c r="FB4" t="e">
        <f>AND(Calculations!Q39,"AAAAAFf9f50=")</f>
        <v>#VALUE!</v>
      </c>
      <c r="FC4">
        <f>IF(Calculations!40:40,"AAAAAFf9f54=",0)</f>
        <v>0</v>
      </c>
      <c r="FD4" t="e">
        <f>AND(Calculations!A40,"AAAAAFf9f58=")</f>
        <v>#VALUE!</v>
      </c>
      <c r="FE4" t="e">
        <f>AND(Calculations!B40,"AAAAAFf9f6A=")</f>
        <v>#VALUE!</v>
      </c>
      <c r="FF4" t="e">
        <f>AND(Calculations!C40,"AAAAAFf9f6E=")</f>
        <v>#VALUE!</v>
      </c>
      <c r="FG4" t="e">
        <f>AND(Calculations!D40,"AAAAAFf9f6I=")</f>
        <v>#VALUE!</v>
      </c>
      <c r="FH4" t="e">
        <f>AND(Calculations!E40,"AAAAAFf9f6M=")</f>
        <v>#VALUE!</v>
      </c>
      <c r="FI4" t="e">
        <f>AND(Calculations!F40,"AAAAAFf9f6Q=")</f>
        <v>#VALUE!</v>
      </c>
      <c r="FJ4" t="e">
        <f>AND(Calculations!G40,"AAAAAFf9f6U=")</f>
        <v>#VALUE!</v>
      </c>
      <c r="FK4" t="e">
        <f>AND(Calculations!H40,"AAAAAFf9f6Y=")</f>
        <v>#VALUE!</v>
      </c>
      <c r="FL4" t="e">
        <f>AND(Calculations!I40,"AAAAAFf9f6c=")</f>
        <v>#VALUE!</v>
      </c>
      <c r="FM4" t="e">
        <f>AND(Calculations!J40,"AAAAAFf9f6g=")</f>
        <v>#VALUE!</v>
      </c>
      <c r="FN4" t="e">
        <f>AND(Calculations!K40,"AAAAAFf9f6k=")</f>
        <v>#VALUE!</v>
      </c>
      <c r="FO4" t="e">
        <f>AND(Calculations!L40,"AAAAAFf9f6o=")</f>
        <v>#VALUE!</v>
      </c>
      <c r="FP4" t="e">
        <f>AND(Calculations!M40,"AAAAAFf9f6s=")</f>
        <v>#VALUE!</v>
      </c>
      <c r="FQ4" t="e">
        <f>AND(Calculations!N40,"AAAAAFf9f6w=")</f>
        <v>#VALUE!</v>
      </c>
      <c r="FR4" t="e">
        <f>AND(Calculations!O40,"AAAAAFf9f60=")</f>
        <v>#VALUE!</v>
      </c>
      <c r="FS4" t="e">
        <f>AND(Calculations!P40,"AAAAAFf9f64=")</f>
        <v>#VALUE!</v>
      </c>
      <c r="FT4" t="e">
        <f>AND(Calculations!Q40,"AAAAAFf9f68=")</f>
        <v>#VALUE!</v>
      </c>
      <c r="FU4">
        <f>IF(Calculations!41:41,"AAAAAFf9f7A=",0)</f>
        <v>0</v>
      </c>
      <c r="FV4" t="e">
        <f>AND(Calculations!A41,"AAAAAFf9f7E=")</f>
        <v>#VALUE!</v>
      </c>
      <c r="FW4" t="e">
        <f>AND(Calculations!B41,"AAAAAFf9f7I=")</f>
        <v>#VALUE!</v>
      </c>
      <c r="FX4" t="e">
        <f>AND(Calculations!C41,"AAAAAFf9f7M=")</f>
        <v>#VALUE!</v>
      </c>
      <c r="FY4" t="e">
        <f>AND(Calculations!D41,"AAAAAFf9f7Q=")</f>
        <v>#VALUE!</v>
      </c>
      <c r="FZ4" t="e">
        <f>AND(Calculations!E41,"AAAAAFf9f7U=")</f>
        <v>#VALUE!</v>
      </c>
      <c r="GA4" t="e">
        <f>AND(Calculations!F41,"AAAAAFf9f7Y=")</f>
        <v>#VALUE!</v>
      </c>
      <c r="GB4" t="e">
        <f>AND(Calculations!G41,"AAAAAFf9f7c=")</f>
        <v>#VALUE!</v>
      </c>
      <c r="GC4" t="e">
        <f>AND(Calculations!H41,"AAAAAFf9f7g=")</f>
        <v>#VALUE!</v>
      </c>
      <c r="GD4" t="e">
        <f>AND(Calculations!I41,"AAAAAFf9f7k=")</f>
        <v>#VALUE!</v>
      </c>
      <c r="GE4" t="e">
        <f>AND(Calculations!J41,"AAAAAFf9f7o=")</f>
        <v>#VALUE!</v>
      </c>
      <c r="GF4" t="e">
        <f>AND(Calculations!K41,"AAAAAFf9f7s=")</f>
        <v>#VALUE!</v>
      </c>
      <c r="GG4" t="e">
        <f>AND(Calculations!L41,"AAAAAFf9f7w=")</f>
        <v>#VALUE!</v>
      </c>
      <c r="GH4" t="e">
        <f>AND(Calculations!M41,"AAAAAFf9f70=")</f>
        <v>#VALUE!</v>
      </c>
      <c r="GI4" t="e">
        <f>AND(Calculations!N41,"AAAAAFf9f74=")</f>
        <v>#VALUE!</v>
      </c>
      <c r="GJ4" t="e">
        <f>AND(Calculations!O41,"AAAAAFf9f78=")</f>
        <v>#VALUE!</v>
      </c>
      <c r="GK4" t="e">
        <f>AND(Calculations!P41,"AAAAAFf9f8A=")</f>
        <v>#VALUE!</v>
      </c>
      <c r="GL4" t="e">
        <f>AND(Calculations!Q41,"AAAAAFf9f8E=")</f>
        <v>#VALUE!</v>
      </c>
      <c r="GM4">
        <f>IF(Calculations!42:42,"AAAAAFf9f8I=",0)</f>
        <v>0</v>
      </c>
      <c r="GN4" t="e">
        <f>AND(Calculations!A42,"AAAAAFf9f8M=")</f>
        <v>#VALUE!</v>
      </c>
      <c r="GO4" t="e">
        <f>AND(Calculations!B42,"AAAAAFf9f8Q=")</f>
        <v>#VALUE!</v>
      </c>
      <c r="GP4" t="e">
        <f>AND(Calculations!C42,"AAAAAFf9f8U=")</f>
        <v>#VALUE!</v>
      </c>
      <c r="GQ4" t="e">
        <f>AND(Calculations!D42,"AAAAAFf9f8Y=")</f>
        <v>#VALUE!</v>
      </c>
      <c r="GR4" t="e">
        <f>AND(Calculations!E42,"AAAAAFf9f8c=")</f>
        <v>#VALUE!</v>
      </c>
      <c r="GS4" t="e">
        <f>AND(Calculations!F42,"AAAAAFf9f8g=")</f>
        <v>#VALUE!</v>
      </c>
      <c r="GT4" t="e">
        <f>AND(Calculations!G42,"AAAAAFf9f8k=")</f>
        <v>#VALUE!</v>
      </c>
      <c r="GU4" t="e">
        <f>AND(Calculations!H42,"AAAAAFf9f8o=")</f>
        <v>#VALUE!</v>
      </c>
      <c r="GV4" t="e">
        <f>AND(Calculations!I42,"AAAAAFf9f8s=")</f>
        <v>#VALUE!</v>
      </c>
      <c r="GW4" t="e">
        <f>AND(Calculations!J42,"AAAAAFf9f8w=")</f>
        <v>#VALUE!</v>
      </c>
      <c r="GX4" t="e">
        <f>AND(Calculations!K42,"AAAAAFf9f80=")</f>
        <v>#VALUE!</v>
      </c>
      <c r="GY4" t="e">
        <f>AND(Calculations!L42,"AAAAAFf9f84=")</f>
        <v>#VALUE!</v>
      </c>
      <c r="GZ4" t="e">
        <f>AND(Calculations!M42,"AAAAAFf9f88=")</f>
        <v>#VALUE!</v>
      </c>
      <c r="HA4" t="e">
        <f>AND(Calculations!N42,"AAAAAFf9f9A=")</f>
        <v>#VALUE!</v>
      </c>
      <c r="HB4" t="e">
        <f>AND(Calculations!O42,"AAAAAFf9f9E=")</f>
        <v>#VALUE!</v>
      </c>
      <c r="HC4" t="e">
        <f>AND(Calculations!P42,"AAAAAFf9f9I=")</f>
        <v>#VALUE!</v>
      </c>
      <c r="HD4" t="e">
        <f>AND(Calculations!Q42,"AAAAAFf9f9M=")</f>
        <v>#VALUE!</v>
      </c>
      <c r="HE4">
        <f>IF(Calculations!43:43,"AAAAAFf9f9Q=",0)</f>
        <v>0</v>
      </c>
      <c r="HF4" t="e">
        <f>AND(Calculations!A43,"AAAAAFf9f9U=")</f>
        <v>#VALUE!</v>
      </c>
      <c r="HG4" t="e">
        <f>AND(Calculations!B43,"AAAAAFf9f9Y=")</f>
        <v>#VALUE!</v>
      </c>
      <c r="HH4" t="e">
        <f>AND(Calculations!C43,"AAAAAFf9f9c=")</f>
        <v>#VALUE!</v>
      </c>
      <c r="HI4" t="e">
        <f>AND(Calculations!D43,"AAAAAFf9f9g=")</f>
        <v>#VALUE!</v>
      </c>
      <c r="HJ4" t="e">
        <f>AND(Calculations!E43,"AAAAAFf9f9k=")</f>
        <v>#VALUE!</v>
      </c>
      <c r="HK4" t="e">
        <f>AND(Calculations!F43,"AAAAAFf9f9o=")</f>
        <v>#VALUE!</v>
      </c>
      <c r="HL4" t="e">
        <f>AND(Calculations!G43,"AAAAAFf9f9s=")</f>
        <v>#VALUE!</v>
      </c>
      <c r="HM4" t="e">
        <f>AND(Calculations!H43,"AAAAAFf9f9w=")</f>
        <v>#VALUE!</v>
      </c>
      <c r="HN4" t="e">
        <f>AND(Calculations!I43,"AAAAAFf9f90=")</f>
        <v>#VALUE!</v>
      </c>
      <c r="HO4" t="e">
        <f>AND(Calculations!J43,"AAAAAFf9f94=")</f>
        <v>#VALUE!</v>
      </c>
      <c r="HP4" t="e">
        <f>AND(Calculations!K43,"AAAAAFf9f98=")</f>
        <v>#VALUE!</v>
      </c>
      <c r="HQ4" t="e">
        <f>AND(Calculations!L43,"AAAAAFf9f+A=")</f>
        <v>#VALUE!</v>
      </c>
      <c r="HR4" t="e">
        <f>AND(Calculations!M43,"AAAAAFf9f+E=")</f>
        <v>#VALUE!</v>
      </c>
      <c r="HS4" t="e">
        <f>AND(Calculations!N43,"AAAAAFf9f+I=")</f>
        <v>#VALUE!</v>
      </c>
      <c r="HT4" t="e">
        <f>AND(Calculations!O43,"AAAAAFf9f+M=")</f>
        <v>#VALUE!</v>
      </c>
      <c r="HU4" t="e">
        <f>AND(Calculations!P43,"AAAAAFf9f+Q=")</f>
        <v>#VALUE!</v>
      </c>
      <c r="HV4" t="e">
        <f>AND(Calculations!Q43,"AAAAAFf9f+U=")</f>
        <v>#VALUE!</v>
      </c>
      <c r="HW4">
        <f>IF(Calculations!44:44,"AAAAAFf9f+Y=",0)</f>
        <v>0</v>
      </c>
      <c r="HX4" t="e">
        <f>AND(Calculations!A44,"AAAAAFf9f+c=")</f>
        <v>#VALUE!</v>
      </c>
      <c r="HY4" t="e">
        <f>AND(Calculations!B44,"AAAAAFf9f+g=")</f>
        <v>#VALUE!</v>
      </c>
      <c r="HZ4" t="e">
        <f>AND(Calculations!C44,"AAAAAFf9f+k=")</f>
        <v>#VALUE!</v>
      </c>
      <c r="IA4" t="e">
        <f>AND(Calculations!D44,"AAAAAFf9f+o=")</f>
        <v>#VALUE!</v>
      </c>
      <c r="IB4" t="e">
        <f>AND(Calculations!E44,"AAAAAFf9f+s=")</f>
        <v>#VALUE!</v>
      </c>
      <c r="IC4" t="e">
        <f>AND(Calculations!F44,"AAAAAFf9f+w=")</f>
        <v>#VALUE!</v>
      </c>
      <c r="ID4" t="e">
        <f>AND(Calculations!G44,"AAAAAFf9f+0=")</f>
        <v>#VALUE!</v>
      </c>
      <c r="IE4" t="e">
        <f>AND(Calculations!H44,"AAAAAFf9f+4=")</f>
        <v>#VALUE!</v>
      </c>
      <c r="IF4" t="e">
        <f>AND(Calculations!I44,"AAAAAFf9f+8=")</f>
        <v>#VALUE!</v>
      </c>
      <c r="IG4" t="e">
        <f>AND(Calculations!J44,"AAAAAFf9f/A=")</f>
        <v>#VALUE!</v>
      </c>
      <c r="IH4" t="e">
        <f>AND(Calculations!K44,"AAAAAFf9f/E=")</f>
        <v>#VALUE!</v>
      </c>
      <c r="II4" t="e">
        <f>AND(Calculations!L44,"AAAAAFf9f/I=")</f>
        <v>#VALUE!</v>
      </c>
      <c r="IJ4" t="e">
        <f>AND(Calculations!M44,"AAAAAFf9f/M=")</f>
        <v>#VALUE!</v>
      </c>
      <c r="IK4" t="e">
        <f>AND(Calculations!N44,"AAAAAFf9f/Q=")</f>
        <v>#VALUE!</v>
      </c>
      <c r="IL4" t="e">
        <f>AND(Calculations!O44,"AAAAAFf9f/U=")</f>
        <v>#VALUE!</v>
      </c>
      <c r="IM4" t="e">
        <f>AND(Calculations!P44,"AAAAAFf9f/Y=")</f>
        <v>#VALUE!</v>
      </c>
      <c r="IN4" t="e">
        <f>AND(Calculations!Q44,"AAAAAFf9f/c=")</f>
        <v>#VALUE!</v>
      </c>
      <c r="IO4">
        <f>IF(Calculations!45:45,"AAAAAFf9f/g=",0)</f>
        <v>0</v>
      </c>
      <c r="IP4" t="e">
        <f>AND(Calculations!A45,"AAAAAFf9f/k=")</f>
        <v>#VALUE!</v>
      </c>
      <c r="IQ4" t="e">
        <f>AND(Calculations!B45,"AAAAAFf9f/o=")</f>
        <v>#VALUE!</v>
      </c>
      <c r="IR4" t="e">
        <f>AND(Calculations!C45,"AAAAAFf9f/s=")</f>
        <v>#VALUE!</v>
      </c>
      <c r="IS4" t="e">
        <f>AND(Calculations!D45,"AAAAAFf9f/w=")</f>
        <v>#VALUE!</v>
      </c>
      <c r="IT4" t="e">
        <f>AND(Calculations!E45,"AAAAAFf9f/0=")</f>
        <v>#VALUE!</v>
      </c>
      <c r="IU4" t="e">
        <f>AND(Calculations!F45,"AAAAAFf9f/4=")</f>
        <v>#VALUE!</v>
      </c>
      <c r="IV4" t="e">
        <f>AND(Calculations!G45,"AAAAAFf9f/8=")</f>
        <v>#VALUE!</v>
      </c>
    </row>
    <row r="5" spans="1:256" x14ac:dyDescent="0.25">
      <c r="A5" t="e">
        <f>AND(Calculations!H45,"AAAAAHcsEwA=")</f>
        <v>#VALUE!</v>
      </c>
      <c r="B5" t="e">
        <f>AND(Calculations!I45,"AAAAAHcsEwE=")</f>
        <v>#VALUE!</v>
      </c>
      <c r="C5" t="e">
        <f>AND(Calculations!J45,"AAAAAHcsEwI=")</f>
        <v>#VALUE!</v>
      </c>
      <c r="D5" t="e">
        <f>AND(Calculations!K45,"AAAAAHcsEwM=")</f>
        <v>#VALUE!</v>
      </c>
      <c r="E5" t="e">
        <f>AND(Calculations!L45,"AAAAAHcsEwQ=")</f>
        <v>#VALUE!</v>
      </c>
      <c r="F5" t="e">
        <f>AND(Calculations!M45,"AAAAAHcsEwU=")</f>
        <v>#VALUE!</v>
      </c>
      <c r="G5" t="e">
        <f>AND(Calculations!N45,"AAAAAHcsEwY=")</f>
        <v>#VALUE!</v>
      </c>
      <c r="H5" t="e">
        <f>AND(Calculations!O45,"AAAAAHcsEwc=")</f>
        <v>#VALUE!</v>
      </c>
      <c r="I5" t="e">
        <f>AND(Calculations!P45,"AAAAAHcsEwg=")</f>
        <v>#VALUE!</v>
      </c>
      <c r="J5" t="e">
        <f>AND(Calculations!Q45,"AAAAAHcsEwk=")</f>
        <v>#VALUE!</v>
      </c>
      <c r="K5">
        <f>IF(Calculations!46:46,"AAAAAHcsEwo=",0)</f>
        <v>0</v>
      </c>
      <c r="L5" t="e">
        <f>AND(Calculations!A46,"AAAAAHcsEws=")</f>
        <v>#VALUE!</v>
      </c>
      <c r="M5" t="e">
        <f>AND(Calculations!B46,"AAAAAHcsEww=")</f>
        <v>#VALUE!</v>
      </c>
      <c r="N5" t="e">
        <f>AND(Calculations!C46,"AAAAAHcsEw0=")</f>
        <v>#VALUE!</v>
      </c>
      <c r="O5" t="e">
        <f>AND(Calculations!D46,"AAAAAHcsEw4=")</f>
        <v>#VALUE!</v>
      </c>
      <c r="P5" t="e">
        <f>AND(Calculations!E46,"AAAAAHcsEw8=")</f>
        <v>#VALUE!</v>
      </c>
      <c r="Q5" t="e">
        <f>AND(Calculations!F46,"AAAAAHcsExA=")</f>
        <v>#VALUE!</v>
      </c>
      <c r="R5" t="e">
        <f>AND(Calculations!G46,"AAAAAHcsExE=")</f>
        <v>#VALUE!</v>
      </c>
      <c r="S5" t="e">
        <f>AND(Calculations!H46,"AAAAAHcsExI=")</f>
        <v>#VALUE!</v>
      </c>
      <c r="T5" t="e">
        <f>AND(Calculations!I46,"AAAAAHcsExM=")</f>
        <v>#VALUE!</v>
      </c>
      <c r="U5" t="e">
        <f>AND(Calculations!J46,"AAAAAHcsExQ=")</f>
        <v>#VALUE!</v>
      </c>
      <c r="V5" t="e">
        <f>AND(Calculations!K46,"AAAAAHcsExU=")</f>
        <v>#VALUE!</v>
      </c>
      <c r="W5" t="e">
        <f>AND(Calculations!L46,"AAAAAHcsExY=")</f>
        <v>#VALUE!</v>
      </c>
      <c r="X5" t="e">
        <f>AND(Calculations!M46,"AAAAAHcsExc=")</f>
        <v>#VALUE!</v>
      </c>
      <c r="Y5" t="e">
        <f>AND(Calculations!N46,"AAAAAHcsExg=")</f>
        <v>#VALUE!</v>
      </c>
      <c r="Z5" t="e">
        <f>AND(Calculations!O46,"AAAAAHcsExk=")</f>
        <v>#VALUE!</v>
      </c>
      <c r="AA5" t="e">
        <f>AND(Calculations!P46,"AAAAAHcsExo=")</f>
        <v>#VALUE!</v>
      </c>
      <c r="AB5" t="e">
        <f>AND(Calculations!Q46,"AAAAAHcsExs=")</f>
        <v>#VALUE!</v>
      </c>
      <c r="AC5">
        <f>IF(Calculations!47:47,"AAAAAHcsExw=",0)</f>
        <v>0</v>
      </c>
      <c r="AD5" t="e">
        <f>AND(Calculations!A47,"AAAAAHcsEx0=")</f>
        <v>#VALUE!</v>
      </c>
      <c r="AE5" t="e">
        <f>AND(Calculations!B47,"AAAAAHcsEx4=")</f>
        <v>#VALUE!</v>
      </c>
      <c r="AF5" t="e">
        <f>AND(Calculations!C47,"AAAAAHcsEx8=")</f>
        <v>#VALUE!</v>
      </c>
      <c r="AG5" t="e">
        <f>AND(Calculations!D47,"AAAAAHcsEyA=")</f>
        <v>#VALUE!</v>
      </c>
      <c r="AH5" t="e">
        <f>AND(Calculations!E47,"AAAAAHcsEyE=")</f>
        <v>#VALUE!</v>
      </c>
      <c r="AI5" t="e">
        <f>AND(Calculations!F47,"AAAAAHcsEyI=")</f>
        <v>#VALUE!</v>
      </c>
      <c r="AJ5" t="e">
        <f>AND(Calculations!G47,"AAAAAHcsEyM=")</f>
        <v>#VALUE!</v>
      </c>
      <c r="AK5" t="e">
        <f>AND(Calculations!H47,"AAAAAHcsEyQ=")</f>
        <v>#VALUE!</v>
      </c>
      <c r="AL5" t="e">
        <f>AND(Calculations!I47,"AAAAAHcsEyU=")</f>
        <v>#VALUE!</v>
      </c>
      <c r="AM5" t="e">
        <f>AND(Calculations!J47,"AAAAAHcsEyY=")</f>
        <v>#VALUE!</v>
      </c>
      <c r="AN5" t="e">
        <f>AND(Calculations!K47,"AAAAAHcsEyc=")</f>
        <v>#VALUE!</v>
      </c>
      <c r="AO5" t="e">
        <f>AND(Calculations!L47,"AAAAAHcsEyg=")</f>
        <v>#VALUE!</v>
      </c>
      <c r="AP5" t="e">
        <f>AND(Calculations!M47,"AAAAAHcsEyk=")</f>
        <v>#VALUE!</v>
      </c>
      <c r="AQ5" t="e">
        <f>AND(Calculations!N47,"AAAAAHcsEyo=")</f>
        <v>#VALUE!</v>
      </c>
      <c r="AR5" t="e">
        <f>AND(Calculations!O47,"AAAAAHcsEys=")</f>
        <v>#VALUE!</v>
      </c>
      <c r="AS5" t="e">
        <f>AND(Calculations!P47,"AAAAAHcsEyw=")</f>
        <v>#VALUE!</v>
      </c>
      <c r="AT5" t="e">
        <f>AND(Calculations!Q47,"AAAAAHcsEy0=")</f>
        <v>#VALUE!</v>
      </c>
      <c r="AU5">
        <f>IF(Calculations!48:48,"AAAAAHcsEy4=",0)</f>
        <v>0</v>
      </c>
      <c r="AV5" t="e">
        <f>AND(Calculations!A48,"AAAAAHcsEy8=")</f>
        <v>#VALUE!</v>
      </c>
      <c r="AW5" t="e">
        <f>AND(Calculations!B48,"AAAAAHcsEzA=")</f>
        <v>#VALUE!</v>
      </c>
      <c r="AX5" t="e">
        <f>AND(Calculations!C48,"AAAAAHcsEzE=")</f>
        <v>#VALUE!</v>
      </c>
      <c r="AY5" t="e">
        <f>AND(Calculations!D48,"AAAAAHcsEzI=")</f>
        <v>#VALUE!</v>
      </c>
      <c r="AZ5" t="e">
        <f>AND(Calculations!E48,"AAAAAHcsEzM=")</f>
        <v>#VALUE!</v>
      </c>
      <c r="BA5" t="e">
        <f>AND(Calculations!F48,"AAAAAHcsEzQ=")</f>
        <v>#VALUE!</v>
      </c>
      <c r="BB5" t="e">
        <f>AND(Calculations!G48,"AAAAAHcsEzU=")</f>
        <v>#VALUE!</v>
      </c>
      <c r="BC5" t="e">
        <f>AND(Calculations!H48,"AAAAAHcsEzY=")</f>
        <v>#VALUE!</v>
      </c>
      <c r="BD5" t="e">
        <f>AND(Calculations!I48,"AAAAAHcsEzc=")</f>
        <v>#VALUE!</v>
      </c>
      <c r="BE5" t="e">
        <f>AND(Calculations!J48,"AAAAAHcsEzg=")</f>
        <v>#VALUE!</v>
      </c>
      <c r="BF5" t="e">
        <f>AND(Calculations!K48,"AAAAAHcsEzk=")</f>
        <v>#VALUE!</v>
      </c>
      <c r="BG5" t="e">
        <f>AND(Calculations!L48,"AAAAAHcsEzo=")</f>
        <v>#VALUE!</v>
      </c>
      <c r="BH5" t="e">
        <f>AND(Calculations!M48,"AAAAAHcsEzs=")</f>
        <v>#VALUE!</v>
      </c>
      <c r="BI5" t="e">
        <f>AND(Calculations!N48,"AAAAAHcsEzw=")</f>
        <v>#VALUE!</v>
      </c>
      <c r="BJ5" t="e">
        <f>AND(Calculations!O48,"AAAAAHcsEz0=")</f>
        <v>#VALUE!</v>
      </c>
      <c r="BK5" t="e">
        <f>AND(Calculations!P48,"AAAAAHcsEz4=")</f>
        <v>#VALUE!</v>
      </c>
      <c r="BL5" t="e">
        <f>AND(Calculations!Q48,"AAAAAHcsEz8=")</f>
        <v>#VALUE!</v>
      </c>
      <c r="BM5">
        <f>IF(Calculations!49:49,"AAAAAHcsE0A=",0)</f>
        <v>0</v>
      </c>
      <c r="BN5" t="e">
        <f>AND(Calculations!A49,"AAAAAHcsE0E=")</f>
        <v>#VALUE!</v>
      </c>
      <c r="BO5" t="e">
        <f>AND(Calculations!B49,"AAAAAHcsE0I=")</f>
        <v>#VALUE!</v>
      </c>
      <c r="BP5" t="e">
        <f>AND(Calculations!C49,"AAAAAHcsE0M=")</f>
        <v>#VALUE!</v>
      </c>
      <c r="BQ5" t="e">
        <f>AND(Calculations!D49,"AAAAAHcsE0Q=")</f>
        <v>#VALUE!</v>
      </c>
      <c r="BR5" t="e">
        <f>AND(Calculations!E49,"AAAAAHcsE0U=")</f>
        <v>#VALUE!</v>
      </c>
      <c r="BS5" t="e">
        <f>AND(Calculations!F49,"AAAAAHcsE0Y=")</f>
        <v>#VALUE!</v>
      </c>
      <c r="BT5" t="e">
        <f>AND(Calculations!G49,"AAAAAHcsE0c=")</f>
        <v>#VALUE!</v>
      </c>
      <c r="BU5" t="e">
        <f>AND(Calculations!H49,"AAAAAHcsE0g=")</f>
        <v>#VALUE!</v>
      </c>
      <c r="BV5" t="e">
        <f>AND(Calculations!I49,"AAAAAHcsE0k=")</f>
        <v>#VALUE!</v>
      </c>
      <c r="BW5" t="e">
        <f>AND(Calculations!J49,"AAAAAHcsE0o=")</f>
        <v>#VALUE!</v>
      </c>
      <c r="BX5" t="e">
        <f>AND(Calculations!K49,"AAAAAHcsE0s=")</f>
        <v>#VALUE!</v>
      </c>
      <c r="BY5" t="e">
        <f>AND(Calculations!L49,"AAAAAHcsE0w=")</f>
        <v>#VALUE!</v>
      </c>
      <c r="BZ5" t="e">
        <f>AND(Calculations!M49,"AAAAAHcsE00=")</f>
        <v>#VALUE!</v>
      </c>
      <c r="CA5" t="e">
        <f>AND(Calculations!N49,"AAAAAHcsE04=")</f>
        <v>#VALUE!</v>
      </c>
      <c r="CB5" t="e">
        <f>AND(Calculations!O49,"AAAAAHcsE08=")</f>
        <v>#VALUE!</v>
      </c>
      <c r="CC5" t="e">
        <f>AND(Calculations!P49,"AAAAAHcsE1A=")</f>
        <v>#VALUE!</v>
      </c>
      <c r="CD5" t="e">
        <f>AND(Calculations!Q49,"AAAAAHcsE1E=")</f>
        <v>#VALUE!</v>
      </c>
      <c r="CE5">
        <f>IF(Calculations!50:50,"AAAAAHcsE1I=",0)</f>
        <v>0</v>
      </c>
      <c r="CF5" t="e">
        <f>AND(Calculations!A50,"AAAAAHcsE1M=")</f>
        <v>#VALUE!</v>
      </c>
      <c r="CG5" t="e">
        <f>AND(Calculations!B50,"AAAAAHcsE1Q=")</f>
        <v>#VALUE!</v>
      </c>
      <c r="CH5" t="e">
        <f>AND(Calculations!C50,"AAAAAHcsE1U=")</f>
        <v>#VALUE!</v>
      </c>
      <c r="CI5" t="e">
        <f>AND(Calculations!D50,"AAAAAHcsE1Y=")</f>
        <v>#VALUE!</v>
      </c>
      <c r="CJ5" t="e">
        <f>AND(Calculations!E50,"AAAAAHcsE1c=")</f>
        <v>#VALUE!</v>
      </c>
      <c r="CK5" t="e">
        <f>AND(Calculations!F50,"AAAAAHcsE1g=")</f>
        <v>#VALUE!</v>
      </c>
      <c r="CL5" t="e">
        <f>AND(Calculations!G50,"AAAAAHcsE1k=")</f>
        <v>#VALUE!</v>
      </c>
      <c r="CM5" t="e">
        <f>AND(Calculations!H50,"AAAAAHcsE1o=")</f>
        <v>#VALUE!</v>
      </c>
      <c r="CN5" t="e">
        <f>AND(Calculations!I50,"AAAAAHcsE1s=")</f>
        <v>#VALUE!</v>
      </c>
      <c r="CO5" t="e">
        <f>AND(Calculations!J50,"AAAAAHcsE1w=")</f>
        <v>#VALUE!</v>
      </c>
      <c r="CP5" t="e">
        <f>AND(Calculations!K50,"AAAAAHcsE10=")</f>
        <v>#VALUE!</v>
      </c>
      <c r="CQ5" t="e">
        <f>AND(Calculations!L50,"AAAAAHcsE14=")</f>
        <v>#VALUE!</v>
      </c>
      <c r="CR5" t="e">
        <f>AND(Calculations!M50,"AAAAAHcsE18=")</f>
        <v>#VALUE!</v>
      </c>
      <c r="CS5" t="e">
        <f>AND(Calculations!N50,"AAAAAHcsE2A=")</f>
        <v>#VALUE!</v>
      </c>
      <c r="CT5" t="e">
        <f>AND(Calculations!O50,"AAAAAHcsE2E=")</f>
        <v>#VALUE!</v>
      </c>
      <c r="CU5" t="e">
        <f>AND(Calculations!P50,"AAAAAHcsE2I=")</f>
        <v>#VALUE!</v>
      </c>
      <c r="CV5" t="e">
        <f>AND(Calculations!Q50,"AAAAAHcsE2M=")</f>
        <v>#VALUE!</v>
      </c>
      <c r="CW5">
        <f>IF(Calculations!51:51,"AAAAAHcsE2Q=",0)</f>
        <v>0</v>
      </c>
      <c r="CX5" t="e">
        <f>AND(Calculations!A51,"AAAAAHcsE2U=")</f>
        <v>#VALUE!</v>
      </c>
      <c r="CY5" t="e">
        <f>AND(Calculations!B51,"AAAAAHcsE2Y=")</f>
        <v>#VALUE!</v>
      </c>
      <c r="CZ5" t="e">
        <f>AND(Calculations!C51,"AAAAAHcsE2c=")</f>
        <v>#VALUE!</v>
      </c>
      <c r="DA5" t="e">
        <f>AND(Calculations!D51,"AAAAAHcsE2g=")</f>
        <v>#VALUE!</v>
      </c>
      <c r="DB5" t="e">
        <f>AND(Calculations!E51,"AAAAAHcsE2k=")</f>
        <v>#VALUE!</v>
      </c>
      <c r="DC5" t="e">
        <f>AND(Calculations!F51,"AAAAAHcsE2o=")</f>
        <v>#VALUE!</v>
      </c>
      <c r="DD5" t="e">
        <f>AND(Calculations!G51,"AAAAAHcsE2s=")</f>
        <v>#VALUE!</v>
      </c>
      <c r="DE5" t="e">
        <f>AND(Calculations!H51,"AAAAAHcsE2w=")</f>
        <v>#VALUE!</v>
      </c>
      <c r="DF5" t="e">
        <f>AND(Calculations!I51,"AAAAAHcsE20=")</f>
        <v>#VALUE!</v>
      </c>
      <c r="DG5" t="e">
        <f>AND(Calculations!J51,"AAAAAHcsE24=")</f>
        <v>#VALUE!</v>
      </c>
      <c r="DH5" t="e">
        <f>AND(Calculations!K51,"AAAAAHcsE28=")</f>
        <v>#VALUE!</v>
      </c>
      <c r="DI5" t="e">
        <f>AND(Calculations!L51,"AAAAAHcsE3A=")</f>
        <v>#VALUE!</v>
      </c>
      <c r="DJ5" t="e">
        <f>AND(Calculations!M51,"AAAAAHcsE3E=")</f>
        <v>#VALUE!</v>
      </c>
      <c r="DK5" t="e">
        <f>AND(Calculations!N51,"AAAAAHcsE3I=")</f>
        <v>#VALUE!</v>
      </c>
      <c r="DL5" t="e">
        <f>AND(Calculations!O51,"AAAAAHcsE3M=")</f>
        <v>#VALUE!</v>
      </c>
      <c r="DM5" t="e">
        <f>AND(Calculations!P51,"AAAAAHcsE3Q=")</f>
        <v>#VALUE!</v>
      </c>
      <c r="DN5" t="e">
        <f>AND(Calculations!Q51,"AAAAAHcsE3U=")</f>
        <v>#VALUE!</v>
      </c>
      <c r="DO5">
        <f>IF(Calculations!52:52,"AAAAAHcsE3Y=",0)</f>
        <v>0</v>
      </c>
      <c r="DP5" t="e">
        <f>AND(Calculations!A52,"AAAAAHcsE3c=")</f>
        <v>#VALUE!</v>
      </c>
      <c r="DQ5" t="e">
        <f>AND(Calculations!B52,"AAAAAHcsE3g=")</f>
        <v>#VALUE!</v>
      </c>
      <c r="DR5" t="e">
        <f>AND(Calculations!C52,"AAAAAHcsE3k=")</f>
        <v>#VALUE!</v>
      </c>
      <c r="DS5" t="e">
        <f>AND(Calculations!D52,"AAAAAHcsE3o=")</f>
        <v>#VALUE!</v>
      </c>
      <c r="DT5" t="e">
        <f>AND(Calculations!E52,"AAAAAHcsE3s=")</f>
        <v>#VALUE!</v>
      </c>
      <c r="DU5" t="e">
        <f>AND(Calculations!F52,"AAAAAHcsE3w=")</f>
        <v>#VALUE!</v>
      </c>
      <c r="DV5" t="e">
        <f>AND(Calculations!G52,"AAAAAHcsE30=")</f>
        <v>#VALUE!</v>
      </c>
      <c r="DW5" t="e">
        <f>AND(Calculations!H52,"AAAAAHcsE34=")</f>
        <v>#VALUE!</v>
      </c>
      <c r="DX5" t="e">
        <f>AND(Calculations!I52,"AAAAAHcsE38=")</f>
        <v>#VALUE!</v>
      </c>
      <c r="DY5" t="e">
        <f>AND(Calculations!J52,"AAAAAHcsE4A=")</f>
        <v>#VALUE!</v>
      </c>
      <c r="DZ5" t="e">
        <f>AND(Calculations!K52,"AAAAAHcsE4E=")</f>
        <v>#VALUE!</v>
      </c>
      <c r="EA5" t="e">
        <f>AND(Calculations!L52,"AAAAAHcsE4I=")</f>
        <v>#VALUE!</v>
      </c>
      <c r="EB5" t="e">
        <f>AND(Calculations!M52,"AAAAAHcsE4M=")</f>
        <v>#VALUE!</v>
      </c>
      <c r="EC5" t="e">
        <f>AND(Calculations!N52,"AAAAAHcsE4Q=")</f>
        <v>#VALUE!</v>
      </c>
      <c r="ED5" t="e">
        <f>AND(Calculations!O52,"AAAAAHcsE4U=")</f>
        <v>#VALUE!</v>
      </c>
      <c r="EE5" t="e">
        <f>AND(Calculations!P52,"AAAAAHcsE4Y=")</f>
        <v>#VALUE!</v>
      </c>
      <c r="EF5" t="e">
        <f>AND(Calculations!Q52,"AAAAAHcsE4c=")</f>
        <v>#VALUE!</v>
      </c>
      <c r="EG5">
        <f>IF(Calculations!53:53,"AAAAAHcsE4g=",0)</f>
        <v>0</v>
      </c>
      <c r="EH5" t="e">
        <f>AND(Calculations!A53,"AAAAAHcsE4k=")</f>
        <v>#VALUE!</v>
      </c>
      <c r="EI5" t="e">
        <f>AND(Calculations!B53,"AAAAAHcsE4o=")</f>
        <v>#VALUE!</v>
      </c>
      <c r="EJ5" t="e">
        <f>AND(Calculations!C53,"AAAAAHcsE4s=")</f>
        <v>#VALUE!</v>
      </c>
      <c r="EK5" t="e">
        <f>AND(Calculations!D53,"AAAAAHcsE4w=")</f>
        <v>#VALUE!</v>
      </c>
      <c r="EL5" t="e">
        <f>AND(Calculations!E53,"AAAAAHcsE40=")</f>
        <v>#VALUE!</v>
      </c>
      <c r="EM5" t="e">
        <f>AND(Calculations!F53,"AAAAAHcsE44=")</f>
        <v>#VALUE!</v>
      </c>
      <c r="EN5" t="e">
        <f>AND(Calculations!G53,"AAAAAHcsE48=")</f>
        <v>#VALUE!</v>
      </c>
      <c r="EO5" t="e">
        <f>AND(Calculations!H53,"AAAAAHcsE5A=")</f>
        <v>#VALUE!</v>
      </c>
      <c r="EP5" t="e">
        <f>AND(Calculations!I53,"AAAAAHcsE5E=")</f>
        <v>#VALUE!</v>
      </c>
      <c r="EQ5" t="e">
        <f>AND(Calculations!J53,"AAAAAHcsE5I=")</f>
        <v>#VALUE!</v>
      </c>
      <c r="ER5" t="e">
        <f>AND(Calculations!K53,"AAAAAHcsE5M=")</f>
        <v>#VALUE!</v>
      </c>
      <c r="ES5" t="e">
        <f>AND(Calculations!L53,"AAAAAHcsE5Q=")</f>
        <v>#VALUE!</v>
      </c>
      <c r="ET5" t="e">
        <f>AND(Calculations!M53,"AAAAAHcsE5U=")</f>
        <v>#VALUE!</v>
      </c>
      <c r="EU5" t="e">
        <f>AND(Calculations!N53,"AAAAAHcsE5Y=")</f>
        <v>#VALUE!</v>
      </c>
      <c r="EV5" t="e">
        <f>AND(Calculations!O53,"AAAAAHcsE5c=")</f>
        <v>#VALUE!</v>
      </c>
      <c r="EW5" t="e">
        <f>AND(Calculations!P53,"AAAAAHcsE5g=")</f>
        <v>#VALUE!</v>
      </c>
      <c r="EX5" t="e">
        <f>AND(Calculations!Q53,"AAAAAHcsE5k=")</f>
        <v>#VALUE!</v>
      </c>
      <c r="EY5">
        <f>IF(Calculations!54:54,"AAAAAHcsE5o=",0)</f>
        <v>0</v>
      </c>
      <c r="EZ5" t="e">
        <f>AND(Calculations!A54,"AAAAAHcsE5s=")</f>
        <v>#VALUE!</v>
      </c>
      <c r="FA5" t="e">
        <f>AND(Calculations!B54,"AAAAAHcsE5w=")</f>
        <v>#VALUE!</v>
      </c>
      <c r="FB5" t="e">
        <f>AND(Calculations!C54,"AAAAAHcsE50=")</f>
        <v>#VALUE!</v>
      </c>
      <c r="FC5" t="e">
        <f>AND(Calculations!D54,"AAAAAHcsE54=")</f>
        <v>#VALUE!</v>
      </c>
      <c r="FD5" t="e">
        <f>AND(Calculations!E54,"AAAAAHcsE58=")</f>
        <v>#VALUE!</v>
      </c>
      <c r="FE5" t="e">
        <f>AND(Calculations!F54,"AAAAAHcsE6A=")</f>
        <v>#VALUE!</v>
      </c>
      <c r="FF5" t="e">
        <f>AND(Calculations!G54,"AAAAAHcsE6E=")</f>
        <v>#VALUE!</v>
      </c>
      <c r="FG5" t="e">
        <f>AND(Calculations!H54,"AAAAAHcsE6I=")</f>
        <v>#VALUE!</v>
      </c>
      <c r="FH5" t="e">
        <f>AND(Calculations!I54,"AAAAAHcsE6M=")</f>
        <v>#VALUE!</v>
      </c>
      <c r="FI5" t="e">
        <f>AND(Calculations!J54,"AAAAAHcsE6Q=")</f>
        <v>#VALUE!</v>
      </c>
      <c r="FJ5" t="e">
        <f>AND(Calculations!K54,"AAAAAHcsE6U=")</f>
        <v>#VALUE!</v>
      </c>
      <c r="FK5" t="e">
        <f>AND(Calculations!L54,"AAAAAHcsE6Y=")</f>
        <v>#VALUE!</v>
      </c>
      <c r="FL5" t="e">
        <f>AND(Calculations!M54,"AAAAAHcsE6c=")</f>
        <v>#VALUE!</v>
      </c>
      <c r="FM5" t="e">
        <f>AND(Calculations!N54,"AAAAAHcsE6g=")</f>
        <v>#VALUE!</v>
      </c>
      <c r="FN5" t="e">
        <f>AND(Calculations!O54,"AAAAAHcsE6k=")</f>
        <v>#VALUE!</v>
      </c>
      <c r="FO5" t="e">
        <f>AND(Calculations!P54,"AAAAAHcsE6o=")</f>
        <v>#VALUE!</v>
      </c>
      <c r="FP5" t="e">
        <f>AND(Calculations!Q54,"AAAAAHcsE6s=")</f>
        <v>#VALUE!</v>
      </c>
      <c r="FQ5">
        <f>IF(Calculations!55:55,"AAAAAHcsE6w=",0)</f>
        <v>0</v>
      </c>
      <c r="FR5" t="e">
        <f>AND(Calculations!A55,"AAAAAHcsE60=")</f>
        <v>#VALUE!</v>
      </c>
      <c r="FS5" t="e">
        <f>AND(Calculations!B55,"AAAAAHcsE64=")</f>
        <v>#VALUE!</v>
      </c>
      <c r="FT5" t="e">
        <f>AND(Calculations!C55,"AAAAAHcsE68=")</f>
        <v>#VALUE!</v>
      </c>
      <c r="FU5" t="e">
        <f>AND(Calculations!D55,"AAAAAHcsE7A=")</f>
        <v>#VALUE!</v>
      </c>
      <c r="FV5" t="e">
        <f>AND(Calculations!E55,"AAAAAHcsE7E=")</f>
        <v>#VALUE!</v>
      </c>
      <c r="FW5" t="e">
        <f>AND(Calculations!F55,"AAAAAHcsE7I=")</f>
        <v>#VALUE!</v>
      </c>
      <c r="FX5" t="e">
        <f>AND(Calculations!G55,"AAAAAHcsE7M=")</f>
        <v>#VALUE!</v>
      </c>
      <c r="FY5" t="e">
        <f>AND(Calculations!H55,"AAAAAHcsE7Q=")</f>
        <v>#VALUE!</v>
      </c>
      <c r="FZ5" t="e">
        <f>AND(Calculations!I55,"AAAAAHcsE7U=")</f>
        <v>#VALUE!</v>
      </c>
      <c r="GA5" t="e">
        <f>AND(Calculations!J55,"AAAAAHcsE7Y=")</f>
        <v>#VALUE!</v>
      </c>
      <c r="GB5" t="e">
        <f>AND(Calculations!K55,"AAAAAHcsE7c=")</f>
        <v>#VALUE!</v>
      </c>
      <c r="GC5" t="e">
        <f>AND(Calculations!L55,"AAAAAHcsE7g=")</f>
        <v>#VALUE!</v>
      </c>
      <c r="GD5" t="e">
        <f>AND(Calculations!M55,"AAAAAHcsE7k=")</f>
        <v>#VALUE!</v>
      </c>
      <c r="GE5" t="e">
        <f>AND(Calculations!N55,"AAAAAHcsE7o=")</f>
        <v>#VALUE!</v>
      </c>
      <c r="GF5" t="e">
        <f>AND(Calculations!O55,"AAAAAHcsE7s=")</f>
        <v>#VALUE!</v>
      </c>
      <c r="GG5" t="e">
        <f>AND(Calculations!P55,"AAAAAHcsE7w=")</f>
        <v>#VALUE!</v>
      </c>
      <c r="GH5" t="e">
        <f>AND(Calculations!Q55,"AAAAAHcsE70=")</f>
        <v>#VALUE!</v>
      </c>
      <c r="GI5">
        <f>IF(Calculations!56:56,"AAAAAHcsE74=",0)</f>
        <v>0</v>
      </c>
      <c r="GJ5" t="e">
        <f>AND(Calculations!A56,"AAAAAHcsE78=")</f>
        <v>#VALUE!</v>
      </c>
      <c r="GK5" t="e">
        <f>AND(Calculations!B56,"AAAAAHcsE8A=")</f>
        <v>#VALUE!</v>
      </c>
      <c r="GL5" t="e">
        <f>AND(Calculations!C56,"AAAAAHcsE8E=")</f>
        <v>#VALUE!</v>
      </c>
      <c r="GM5" t="e">
        <f>AND(Calculations!D56,"AAAAAHcsE8I=")</f>
        <v>#VALUE!</v>
      </c>
      <c r="GN5" t="e">
        <f>AND(Calculations!E56,"AAAAAHcsE8M=")</f>
        <v>#VALUE!</v>
      </c>
      <c r="GO5" t="e">
        <f>AND(Calculations!F56,"AAAAAHcsE8Q=")</f>
        <v>#VALUE!</v>
      </c>
      <c r="GP5" t="e">
        <f>AND(Calculations!G56,"AAAAAHcsE8U=")</f>
        <v>#VALUE!</v>
      </c>
      <c r="GQ5" t="e">
        <f>AND(Calculations!H56,"AAAAAHcsE8Y=")</f>
        <v>#VALUE!</v>
      </c>
      <c r="GR5" t="e">
        <f>AND(Calculations!I56,"AAAAAHcsE8c=")</f>
        <v>#VALUE!</v>
      </c>
      <c r="GS5" t="e">
        <f>AND(Calculations!J56,"AAAAAHcsE8g=")</f>
        <v>#VALUE!</v>
      </c>
      <c r="GT5" t="e">
        <f>AND(Calculations!K56,"AAAAAHcsE8k=")</f>
        <v>#VALUE!</v>
      </c>
      <c r="GU5" t="e">
        <f>AND(Calculations!L56,"AAAAAHcsE8o=")</f>
        <v>#VALUE!</v>
      </c>
      <c r="GV5" t="e">
        <f>AND(Calculations!M56,"AAAAAHcsE8s=")</f>
        <v>#VALUE!</v>
      </c>
      <c r="GW5" t="e">
        <f>AND(Calculations!N56,"AAAAAHcsE8w=")</f>
        <v>#VALUE!</v>
      </c>
      <c r="GX5" t="e">
        <f>AND(Calculations!O56,"AAAAAHcsE80=")</f>
        <v>#VALUE!</v>
      </c>
      <c r="GY5" t="e">
        <f>AND(Calculations!P56,"AAAAAHcsE84=")</f>
        <v>#VALUE!</v>
      </c>
      <c r="GZ5" t="e">
        <f>AND(Calculations!Q56,"AAAAAHcsE88=")</f>
        <v>#VALUE!</v>
      </c>
      <c r="HA5">
        <f>IF(Calculations!57:57,"AAAAAHcsE9A=",0)</f>
        <v>0</v>
      </c>
      <c r="HB5" t="e">
        <f>AND(Calculations!A57,"AAAAAHcsE9E=")</f>
        <v>#VALUE!</v>
      </c>
      <c r="HC5" t="e">
        <f>AND(Calculations!B57,"AAAAAHcsE9I=")</f>
        <v>#VALUE!</v>
      </c>
      <c r="HD5" t="e">
        <f>AND(Calculations!C57,"AAAAAHcsE9M=")</f>
        <v>#VALUE!</v>
      </c>
      <c r="HE5" t="e">
        <f>AND(Calculations!D57,"AAAAAHcsE9Q=")</f>
        <v>#VALUE!</v>
      </c>
      <c r="HF5" t="e">
        <f>AND(Calculations!E57,"AAAAAHcsE9U=")</f>
        <v>#VALUE!</v>
      </c>
      <c r="HG5" t="e">
        <f>AND(Calculations!F57,"AAAAAHcsE9Y=")</f>
        <v>#VALUE!</v>
      </c>
      <c r="HH5" t="e">
        <f>AND(Calculations!G57,"AAAAAHcsE9c=")</f>
        <v>#VALUE!</v>
      </c>
      <c r="HI5" t="e">
        <f>AND(Calculations!H57,"AAAAAHcsE9g=")</f>
        <v>#VALUE!</v>
      </c>
      <c r="HJ5" t="e">
        <f>AND(Calculations!I57,"AAAAAHcsE9k=")</f>
        <v>#VALUE!</v>
      </c>
      <c r="HK5" t="e">
        <f>AND(Calculations!J57,"AAAAAHcsE9o=")</f>
        <v>#VALUE!</v>
      </c>
      <c r="HL5" t="e">
        <f>AND(Calculations!K57,"AAAAAHcsE9s=")</f>
        <v>#VALUE!</v>
      </c>
      <c r="HM5" t="e">
        <f>AND(Calculations!L57,"AAAAAHcsE9w=")</f>
        <v>#VALUE!</v>
      </c>
      <c r="HN5" t="e">
        <f>AND(Calculations!M57,"AAAAAHcsE90=")</f>
        <v>#VALUE!</v>
      </c>
      <c r="HO5" t="e">
        <f>AND(Calculations!N57,"AAAAAHcsE94=")</f>
        <v>#VALUE!</v>
      </c>
      <c r="HP5" t="e">
        <f>AND(Calculations!O57,"AAAAAHcsE98=")</f>
        <v>#VALUE!</v>
      </c>
      <c r="HQ5" t="e">
        <f>AND(Calculations!P57,"AAAAAHcsE+A=")</f>
        <v>#VALUE!</v>
      </c>
      <c r="HR5" t="e">
        <f>AND(Calculations!Q57,"AAAAAHcsE+E=")</f>
        <v>#VALUE!</v>
      </c>
      <c r="HS5">
        <f>IF(Calculations!58:58,"AAAAAHcsE+I=",0)</f>
        <v>0</v>
      </c>
      <c r="HT5" t="e">
        <f>AND(Calculations!A58,"AAAAAHcsE+M=")</f>
        <v>#VALUE!</v>
      </c>
      <c r="HU5" t="e">
        <f>AND(Calculations!B58,"AAAAAHcsE+Q=")</f>
        <v>#VALUE!</v>
      </c>
      <c r="HV5" t="e">
        <f>AND(Calculations!C58,"AAAAAHcsE+U=")</f>
        <v>#VALUE!</v>
      </c>
      <c r="HW5" t="e">
        <f>AND(Calculations!D58,"AAAAAHcsE+Y=")</f>
        <v>#VALUE!</v>
      </c>
      <c r="HX5" t="e">
        <f>AND(Calculations!E58,"AAAAAHcsE+c=")</f>
        <v>#VALUE!</v>
      </c>
      <c r="HY5" t="e">
        <f>AND(Calculations!F58,"AAAAAHcsE+g=")</f>
        <v>#VALUE!</v>
      </c>
      <c r="HZ5" t="e">
        <f>AND(Calculations!G58,"AAAAAHcsE+k=")</f>
        <v>#VALUE!</v>
      </c>
      <c r="IA5" t="e">
        <f>AND(Calculations!H58,"AAAAAHcsE+o=")</f>
        <v>#VALUE!</v>
      </c>
      <c r="IB5" t="e">
        <f>AND(Calculations!I58,"AAAAAHcsE+s=")</f>
        <v>#VALUE!</v>
      </c>
      <c r="IC5" t="e">
        <f>AND(Calculations!J58,"AAAAAHcsE+w=")</f>
        <v>#VALUE!</v>
      </c>
      <c r="ID5" t="e">
        <f>AND(Calculations!K58,"AAAAAHcsE+0=")</f>
        <v>#VALUE!</v>
      </c>
      <c r="IE5" t="e">
        <f>AND(Calculations!L58,"AAAAAHcsE+4=")</f>
        <v>#VALUE!</v>
      </c>
      <c r="IF5" t="e">
        <f>AND(Calculations!M58,"AAAAAHcsE+8=")</f>
        <v>#VALUE!</v>
      </c>
      <c r="IG5" t="e">
        <f>AND(Calculations!N58,"AAAAAHcsE/A=")</f>
        <v>#VALUE!</v>
      </c>
      <c r="IH5" t="e">
        <f>AND(Calculations!O58,"AAAAAHcsE/E=")</f>
        <v>#VALUE!</v>
      </c>
      <c r="II5" t="e">
        <f>AND(Calculations!P58,"AAAAAHcsE/I=")</f>
        <v>#VALUE!</v>
      </c>
      <c r="IJ5" t="e">
        <f>AND(Calculations!Q58,"AAAAAHcsE/M=")</f>
        <v>#VALUE!</v>
      </c>
      <c r="IK5">
        <f>IF(Calculations!59:59,"AAAAAHcsE/Q=",0)</f>
        <v>0</v>
      </c>
      <c r="IL5" t="e">
        <f>AND(Calculations!A59,"AAAAAHcsE/U=")</f>
        <v>#VALUE!</v>
      </c>
      <c r="IM5" t="e">
        <f>AND(Calculations!B59,"AAAAAHcsE/Y=")</f>
        <v>#VALUE!</v>
      </c>
      <c r="IN5" t="e">
        <f>AND(Calculations!C59,"AAAAAHcsE/c=")</f>
        <v>#VALUE!</v>
      </c>
      <c r="IO5" t="e">
        <f>AND(Calculations!D59,"AAAAAHcsE/g=")</f>
        <v>#VALUE!</v>
      </c>
      <c r="IP5" t="e">
        <f>AND(Calculations!E59,"AAAAAHcsE/k=")</f>
        <v>#VALUE!</v>
      </c>
      <c r="IQ5" t="e">
        <f>AND(Calculations!F59,"AAAAAHcsE/o=")</f>
        <v>#VALUE!</v>
      </c>
      <c r="IR5" t="e">
        <f>AND(Calculations!G59,"AAAAAHcsE/s=")</f>
        <v>#VALUE!</v>
      </c>
      <c r="IS5" t="e">
        <f>AND(Calculations!H59,"AAAAAHcsE/w=")</f>
        <v>#VALUE!</v>
      </c>
      <c r="IT5" t="e">
        <f>AND(Calculations!I59,"AAAAAHcsE/0=")</f>
        <v>#VALUE!</v>
      </c>
      <c r="IU5" t="e">
        <f>AND(Calculations!J59,"AAAAAHcsE/4=")</f>
        <v>#VALUE!</v>
      </c>
      <c r="IV5" t="e">
        <f>AND(Calculations!K59,"AAAAAHcsE/8=")</f>
        <v>#VALUE!</v>
      </c>
    </row>
    <row r="6" spans="1:256" x14ac:dyDescent="0.25">
      <c r="A6" t="e">
        <f>AND(Calculations!L59,"AAAAAHx/5wA=")</f>
        <v>#VALUE!</v>
      </c>
      <c r="B6" t="e">
        <f>AND(Calculations!M59,"AAAAAHx/5wE=")</f>
        <v>#VALUE!</v>
      </c>
      <c r="C6" t="e">
        <f>AND(Calculations!N59,"AAAAAHx/5wI=")</f>
        <v>#VALUE!</v>
      </c>
      <c r="D6" t="e">
        <f>AND(Calculations!O59,"AAAAAHx/5wM=")</f>
        <v>#VALUE!</v>
      </c>
      <c r="E6" t="e">
        <f>AND(Calculations!P59,"AAAAAHx/5wQ=")</f>
        <v>#VALUE!</v>
      </c>
      <c r="F6" t="e">
        <f>AND(Calculations!Q59,"AAAAAHx/5wU=")</f>
        <v>#VALUE!</v>
      </c>
      <c r="G6">
        <f>IF(Calculations!60:60,"AAAAAHx/5wY=",0)</f>
        <v>0</v>
      </c>
      <c r="H6" t="e">
        <f>AND(Calculations!A60,"AAAAAHx/5wc=")</f>
        <v>#VALUE!</v>
      </c>
      <c r="I6" t="e">
        <f>AND(Calculations!B60,"AAAAAHx/5wg=")</f>
        <v>#VALUE!</v>
      </c>
      <c r="J6" t="e">
        <f>AND(Calculations!C60,"AAAAAHx/5wk=")</f>
        <v>#VALUE!</v>
      </c>
      <c r="K6" t="e">
        <f>AND(Calculations!D60,"AAAAAHx/5wo=")</f>
        <v>#VALUE!</v>
      </c>
      <c r="L6" t="e">
        <f>AND(Calculations!E60,"AAAAAHx/5ws=")</f>
        <v>#VALUE!</v>
      </c>
      <c r="M6" t="e">
        <f>AND(Calculations!F60,"AAAAAHx/5ww=")</f>
        <v>#VALUE!</v>
      </c>
      <c r="N6" t="e">
        <f>AND(Calculations!G60,"AAAAAHx/5w0=")</f>
        <v>#VALUE!</v>
      </c>
      <c r="O6" t="e">
        <f>AND(Calculations!H60,"AAAAAHx/5w4=")</f>
        <v>#VALUE!</v>
      </c>
      <c r="P6" t="e">
        <f>AND(Calculations!I60,"AAAAAHx/5w8=")</f>
        <v>#VALUE!</v>
      </c>
      <c r="Q6" t="e">
        <f>AND(Calculations!J60,"AAAAAHx/5xA=")</f>
        <v>#VALUE!</v>
      </c>
      <c r="R6" t="e">
        <f>AND(Calculations!K60,"AAAAAHx/5xE=")</f>
        <v>#VALUE!</v>
      </c>
      <c r="S6" t="e">
        <f>AND(Calculations!L60,"AAAAAHx/5xI=")</f>
        <v>#VALUE!</v>
      </c>
      <c r="T6" t="e">
        <f>AND(Calculations!M60,"AAAAAHx/5xM=")</f>
        <v>#VALUE!</v>
      </c>
      <c r="U6" t="e">
        <f>AND(Calculations!N60,"AAAAAHx/5xQ=")</f>
        <v>#VALUE!</v>
      </c>
      <c r="V6" t="e">
        <f>AND(Calculations!O60,"AAAAAHx/5xU=")</f>
        <v>#VALUE!</v>
      </c>
      <c r="W6" t="e">
        <f>AND(Calculations!P60,"AAAAAHx/5xY=")</f>
        <v>#VALUE!</v>
      </c>
      <c r="X6" t="e">
        <f>AND(Calculations!Q60,"AAAAAHx/5xc=")</f>
        <v>#VALUE!</v>
      </c>
      <c r="Y6">
        <f>IF(Calculations!61:61,"AAAAAHx/5xg=",0)</f>
        <v>0</v>
      </c>
      <c r="Z6" t="e">
        <f>AND(Calculations!A61,"AAAAAHx/5xk=")</f>
        <v>#VALUE!</v>
      </c>
      <c r="AA6" t="e">
        <f>AND(Calculations!B61,"AAAAAHx/5xo=")</f>
        <v>#VALUE!</v>
      </c>
      <c r="AB6" t="e">
        <f>AND(Calculations!C61,"AAAAAHx/5xs=")</f>
        <v>#VALUE!</v>
      </c>
      <c r="AC6" t="e">
        <f>AND(Calculations!D61,"AAAAAHx/5xw=")</f>
        <v>#VALUE!</v>
      </c>
      <c r="AD6" t="e">
        <f>AND(Calculations!E61,"AAAAAHx/5x0=")</f>
        <v>#VALUE!</v>
      </c>
      <c r="AE6" t="e">
        <f>AND(Calculations!F61,"AAAAAHx/5x4=")</f>
        <v>#VALUE!</v>
      </c>
      <c r="AF6" t="e">
        <f>AND(Calculations!G61,"AAAAAHx/5x8=")</f>
        <v>#VALUE!</v>
      </c>
      <c r="AG6" t="e">
        <f>AND(Calculations!H61,"AAAAAHx/5yA=")</f>
        <v>#VALUE!</v>
      </c>
      <c r="AH6" t="e">
        <f>AND(Calculations!I61,"AAAAAHx/5yE=")</f>
        <v>#VALUE!</v>
      </c>
      <c r="AI6" t="e">
        <f>AND(Calculations!J61,"AAAAAHx/5yI=")</f>
        <v>#VALUE!</v>
      </c>
      <c r="AJ6" t="e">
        <f>AND(Calculations!K61,"AAAAAHx/5yM=")</f>
        <v>#VALUE!</v>
      </c>
      <c r="AK6" t="e">
        <f>AND(Calculations!L61,"AAAAAHx/5yQ=")</f>
        <v>#VALUE!</v>
      </c>
      <c r="AL6" t="e">
        <f>AND(Calculations!M61,"AAAAAHx/5yU=")</f>
        <v>#VALUE!</v>
      </c>
      <c r="AM6" t="e">
        <f>AND(Calculations!N61,"AAAAAHx/5yY=")</f>
        <v>#VALUE!</v>
      </c>
      <c r="AN6" t="e">
        <f>AND(Calculations!O61,"AAAAAHx/5yc=")</f>
        <v>#VALUE!</v>
      </c>
      <c r="AO6" t="e">
        <f>AND(Calculations!P61,"AAAAAHx/5yg=")</f>
        <v>#VALUE!</v>
      </c>
      <c r="AP6" t="e">
        <f>AND(Calculations!Q61,"AAAAAHx/5yk=")</f>
        <v>#VALUE!</v>
      </c>
      <c r="AQ6">
        <f>IF(Calculations!62:62,"AAAAAHx/5yo=",0)</f>
        <v>0</v>
      </c>
      <c r="AR6" t="e">
        <f>AND(Calculations!A62,"AAAAAHx/5ys=")</f>
        <v>#VALUE!</v>
      </c>
      <c r="AS6" t="e">
        <f>AND(Calculations!B62,"AAAAAHx/5yw=")</f>
        <v>#VALUE!</v>
      </c>
      <c r="AT6" t="e">
        <f>AND(Calculations!C62,"AAAAAHx/5y0=")</f>
        <v>#VALUE!</v>
      </c>
      <c r="AU6" t="e">
        <f>AND(Calculations!D62,"AAAAAHx/5y4=")</f>
        <v>#VALUE!</v>
      </c>
      <c r="AV6" t="e">
        <f>AND(Calculations!E62,"AAAAAHx/5y8=")</f>
        <v>#VALUE!</v>
      </c>
      <c r="AW6" t="e">
        <f>AND(Calculations!F62,"AAAAAHx/5zA=")</f>
        <v>#VALUE!</v>
      </c>
      <c r="AX6" t="e">
        <f>AND(Calculations!G62,"AAAAAHx/5zE=")</f>
        <v>#VALUE!</v>
      </c>
      <c r="AY6" t="e">
        <f>AND(Calculations!H62,"AAAAAHx/5zI=")</f>
        <v>#VALUE!</v>
      </c>
      <c r="AZ6" t="e">
        <f>AND(Calculations!I62,"AAAAAHx/5zM=")</f>
        <v>#VALUE!</v>
      </c>
      <c r="BA6" t="e">
        <f>AND(Calculations!J62,"AAAAAHx/5zQ=")</f>
        <v>#VALUE!</v>
      </c>
      <c r="BB6" t="e">
        <f>AND(Calculations!K62,"AAAAAHx/5zU=")</f>
        <v>#VALUE!</v>
      </c>
      <c r="BC6" t="e">
        <f>AND(Calculations!L62,"AAAAAHx/5zY=")</f>
        <v>#VALUE!</v>
      </c>
      <c r="BD6" t="e">
        <f>AND(Calculations!M62,"AAAAAHx/5zc=")</f>
        <v>#VALUE!</v>
      </c>
      <c r="BE6" t="e">
        <f>AND(Calculations!N62,"AAAAAHx/5zg=")</f>
        <v>#VALUE!</v>
      </c>
      <c r="BF6" t="e">
        <f>AND(Calculations!O62,"AAAAAHx/5zk=")</f>
        <v>#VALUE!</v>
      </c>
      <c r="BG6" t="e">
        <f>AND(Calculations!P62,"AAAAAHx/5zo=")</f>
        <v>#VALUE!</v>
      </c>
      <c r="BH6" t="e">
        <f>AND(Calculations!Q62,"AAAAAHx/5zs=")</f>
        <v>#VALUE!</v>
      </c>
      <c r="BI6">
        <f>IF(Calculations!63:63,"AAAAAHx/5zw=",0)</f>
        <v>0</v>
      </c>
      <c r="BJ6" t="e">
        <f>AND(Calculations!A63,"AAAAAHx/5z0=")</f>
        <v>#VALUE!</v>
      </c>
      <c r="BK6" t="e">
        <f>AND(Calculations!B63,"AAAAAHx/5z4=")</f>
        <v>#VALUE!</v>
      </c>
      <c r="BL6" t="e">
        <f>AND(Calculations!C63,"AAAAAHx/5z8=")</f>
        <v>#VALUE!</v>
      </c>
      <c r="BM6" t="e">
        <f>AND(Calculations!D63,"AAAAAHx/50A=")</f>
        <v>#VALUE!</v>
      </c>
      <c r="BN6" t="e">
        <f>AND(Calculations!E63,"AAAAAHx/50E=")</f>
        <v>#VALUE!</v>
      </c>
      <c r="BO6" t="e">
        <f>AND(Calculations!F63,"AAAAAHx/50I=")</f>
        <v>#VALUE!</v>
      </c>
      <c r="BP6" t="e">
        <f>AND(Calculations!G63,"AAAAAHx/50M=")</f>
        <v>#VALUE!</v>
      </c>
      <c r="BQ6" t="e">
        <f>AND(Calculations!H63,"AAAAAHx/50Q=")</f>
        <v>#VALUE!</v>
      </c>
      <c r="BR6" t="e">
        <f>AND(Calculations!I63,"AAAAAHx/50U=")</f>
        <v>#VALUE!</v>
      </c>
      <c r="BS6" t="e">
        <f>AND(Calculations!J63,"AAAAAHx/50Y=")</f>
        <v>#VALUE!</v>
      </c>
      <c r="BT6" t="e">
        <f>AND(Calculations!K63,"AAAAAHx/50c=")</f>
        <v>#VALUE!</v>
      </c>
      <c r="BU6" t="e">
        <f>AND(Calculations!L63,"AAAAAHx/50g=")</f>
        <v>#VALUE!</v>
      </c>
      <c r="BV6" t="e">
        <f>AND(Calculations!M63,"AAAAAHx/50k=")</f>
        <v>#VALUE!</v>
      </c>
      <c r="BW6" t="e">
        <f>AND(Calculations!N63,"AAAAAHx/50o=")</f>
        <v>#VALUE!</v>
      </c>
      <c r="BX6" t="e">
        <f>AND(Calculations!O63,"AAAAAHx/50s=")</f>
        <v>#VALUE!</v>
      </c>
      <c r="BY6" t="e">
        <f>AND(Calculations!P63,"AAAAAHx/50w=")</f>
        <v>#VALUE!</v>
      </c>
      <c r="BZ6" t="e">
        <f>AND(Calculations!Q63,"AAAAAHx/500=")</f>
        <v>#VALUE!</v>
      </c>
      <c r="CA6">
        <f>IF(Calculations!64:64,"AAAAAHx/504=",0)</f>
        <v>0</v>
      </c>
      <c r="CB6" t="e">
        <f>AND(Calculations!A64,"AAAAAHx/508=")</f>
        <v>#VALUE!</v>
      </c>
      <c r="CC6" t="e">
        <f>AND(Calculations!B64,"AAAAAHx/51A=")</f>
        <v>#VALUE!</v>
      </c>
      <c r="CD6" t="e">
        <f>AND(Calculations!C64,"AAAAAHx/51E=")</f>
        <v>#VALUE!</v>
      </c>
      <c r="CE6" t="e">
        <f>AND(Calculations!D64,"AAAAAHx/51I=")</f>
        <v>#VALUE!</v>
      </c>
      <c r="CF6" t="e">
        <f>AND(Calculations!E64,"AAAAAHx/51M=")</f>
        <v>#VALUE!</v>
      </c>
      <c r="CG6" t="e">
        <f>AND(Calculations!F64,"AAAAAHx/51Q=")</f>
        <v>#VALUE!</v>
      </c>
      <c r="CH6" t="e">
        <f>AND(Calculations!G64,"AAAAAHx/51U=")</f>
        <v>#VALUE!</v>
      </c>
      <c r="CI6" t="e">
        <f>AND(Calculations!H64,"AAAAAHx/51Y=")</f>
        <v>#VALUE!</v>
      </c>
      <c r="CJ6" t="e">
        <f>AND(Calculations!I64,"AAAAAHx/51c=")</f>
        <v>#VALUE!</v>
      </c>
      <c r="CK6" t="e">
        <f>AND(Calculations!J64,"AAAAAHx/51g=")</f>
        <v>#VALUE!</v>
      </c>
      <c r="CL6" t="e">
        <f>AND(Calculations!K64,"AAAAAHx/51k=")</f>
        <v>#VALUE!</v>
      </c>
      <c r="CM6" t="e">
        <f>AND(Calculations!L64,"AAAAAHx/51o=")</f>
        <v>#VALUE!</v>
      </c>
      <c r="CN6" t="e">
        <f>AND(Calculations!M64,"AAAAAHx/51s=")</f>
        <v>#VALUE!</v>
      </c>
      <c r="CO6" t="e">
        <f>AND(Calculations!N64,"AAAAAHx/51w=")</f>
        <v>#VALUE!</v>
      </c>
      <c r="CP6" t="e">
        <f>AND(Calculations!O64,"AAAAAHx/510=")</f>
        <v>#VALUE!</v>
      </c>
      <c r="CQ6" t="e">
        <f>AND(Calculations!P64,"AAAAAHx/514=")</f>
        <v>#VALUE!</v>
      </c>
      <c r="CR6" t="e">
        <f>AND(Calculations!Q64,"AAAAAHx/518=")</f>
        <v>#VALUE!</v>
      </c>
      <c r="CS6">
        <f>IF(Calculations!65:65,"AAAAAHx/52A=",0)</f>
        <v>0</v>
      </c>
      <c r="CT6" t="e">
        <f>AND(Calculations!A65,"AAAAAHx/52E=")</f>
        <v>#VALUE!</v>
      </c>
      <c r="CU6" t="e">
        <f>AND(Calculations!B65,"AAAAAHx/52I=")</f>
        <v>#VALUE!</v>
      </c>
      <c r="CV6" t="e">
        <f>AND(Calculations!C65,"AAAAAHx/52M=")</f>
        <v>#VALUE!</v>
      </c>
      <c r="CW6" t="e">
        <f>AND(Calculations!D65,"AAAAAHx/52Q=")</f>
        <v>#VALUE!</v>
      </c>
      <c r="CX6" t="e">
        <f>AND(Calculations!E65,"AAAAAHx/52U=")</f>
        <v>#VALUE!</v>
      </c>
      <c r="CY6" t="e">
        <f>AND(Calculations!F65,"AAAAAHx/52Y=")</f>
        <v>#VALUE!</v>
      </c>
      <c r="CZ6" t="e">
        <f>AND(Calculations!G65,"AAAAAHx/52c=")</f>
        <v>#VALUE!</v>
      </c>
      <c r="DA6" t="e">
        <f>AND(Calculations!H65,"AAAAAHx/52g=")</f>
        <v>#VALUE!</v>
      </c>
      <c r="DB6" t="e">
        <f>AND(Calculations!I65,"AAAAAHx/52k=")</f>
        <v>#VALUE!</v>
      </c>
      <c r="DC6" t="e">
        <f>AND(Calculations!J65,"AAAAAHx/52o=")</f>
        <v>#VALUE!</v>
      </c>
      <c r="DD6" t="e">
        <f>AND(Calculations!K65,"AAAAAHx/52s=")</f>
        <v>#VALUE!</v>
      </c>
      <c r="DE6" t="e">
        <f>AND(Calculations!L65,"AAAAAHx/52w=")</f>
        <v>#VALUE!</v>
      </c>
      <c r="DF6" t="e">
        <f>AND(Calculations!M65,"AAAAAHx/520=")</f>
        <v>#VALUE!</v>
      </c>
      <c r="DG6" t="e">
        <f>AND(Calculations!N65,"AAAAAHx/524=")</f>
        <v>#VALUE!</v>
      </c>
      <c r="DH6" t="e">
        <f>AND(Calculations!O65,"AAAAAHx/528=")</f>
        <v>#VALUE!</v>
      </c>
      <c r="DI6" t="e">
        <f>AND(Calculations!P65,"AAAAAHx/53A=")</f>
        <v>#VALUE!</v>
      </c>
      <c r="DJ6" t="e">
        <f>AND(Calculations!Q65,"AAAAAHx/53E=")</f>
        <v>#VALUE!</v>
      </c>
      <c r="DK6">
        <f>IF(Calculations!66:66,"AAAAAHx/53I=",0)</f>
        <v>0</v>
      </c>
      <c r="DL6" t="e">
        <f>AND(Calculations!A66,"AAAAAHx/53M=")</f>
        <v>#VALUE!</v>
      </c>
      <c r="DM6" t="e">
        <f>AND(Calculations!B66,"AAAAAHx/53Q=")</f>
        <v>#VALUE!</v>
      </c>
      <c r="DN6" t="e">
        <f>AND(Calculations!C66,"AAAAAHx/53U=")</f>
        <v>#VALUE!</v>
      </c>
      <c r="DO6" t="e">
        <f>AND(Calculations!D66,"AAAAAHx/53Y=")</f>
        <v>#VALUE!</v>
      </c>
      <c r="DP6" t="e">
        <f>AND(Calculations!E66,"AAAAAHx/53c=")</f>
        <v>#VALUE!</v>
      </c>
      <c r="DQ6" t="e">
        <f>AND(Calculations!F66,"AAAAAHx/53g=")</f>
        <v>#VALUE!</v>
      </c>
      <c r="DR6" t="e">
        <f>AND(Calculations!G66,"AAAAAHx/53k=")</f>
        <v>#VALUE!</v>
      </c>
      <c r="DS6" t="e">
        <f>AND(Calculations!H66,"AAAAAHx/53o=")</f>
        <v>#VALUE!</v>
      </c>
      <c r="DT6" t="e">
        <f>AND(Calculations!I66,"AAAAAHx/53s=")</f>
        <v>#VALUE!</v>
      </c>
      <c r="DU6" t="e">
        <f>AND(Calculations!J66,"AAAAAHx/53w=")</f>
        <v>#VALUE!</v>
      </c>
      <c r="DV6" t="e">
        <f>AND(Calculations!K66,"AAAAAHx/530=")</f>
        <v>#VALUE!</v>
      </c>
      <c r="DW6" t="e">
        <f>AND(Calculations!L66,"AAAAAHx/534=")</f>
        <v>#VALUE!</v>
      </c>
      <c r="DX6" t="e">
        <f>AND(Calculations!M66,"AAAAAHx/538=")</f>
        <v>#VALUE!</v>
      </c>
      <c r="DY6" t="e">
        <f>AND(Calculations!N66,"AAAAAHx/54A=")</f>
        <v>#VALUE!</v>
      </c>
      <c r="DZ6" t="e">
        <f>AND(Calculations!O66,"AAAAAHx/54E=")</f>
        <v>#VALUE!</v>
      </c>
      <c r="EA6" t="e">
        <f>AND(Calculations!P66,"AAAAAHx/54I=")</f>
        <v>#VALUE!</v>
      </c>
      <c r="EB6" t="e">
        <f>AND(Calculations!Q66,"AAAAAHx/54M=")</f>
        <v>#VALUE!</v>
      </c>
      <c r="EC6">
        <f>IF(Calculations!67:67,"AAAAAHx/54Q=",0)</f>
        <v>0</v>
      </c>
      <c r="ED6" t="e">
        <f>AND(Calculations!A67,"AAAAAHx/54U=")</f>
        <v>#VALUE!</v>
      </c>
      <c r="EE6" t="e">
        <f>AND(Calculations!B67,"AAAAAHx/54Y=")</f>
        <v>#VALUE!</v>
      </c>
      <c r="EF6" t="e">
        <f>AND(Calculations!C67,"AAAAAHx/54c=")</f>
        <v>#VALUE!</v>
      </c>
      <c r="EG6" t="e">
        <f>AND(Calculations!D67,"AAAAAHx/54g=")</f>
        <v>#VALUE!</v>
      </c>
      <c r="EH6" t="e">
        <f>AND(Calculations!E67,"AAAAAHx/54k=")</f>
        <v>#VALUE!</v>
      </c>
      <c r="EI6" t="e">
        <f>AND(Calculations!F67,"AAAAAHx/54o=")</f>
        <v>#VALUE!</v>
      </c>
      <c r="EJ6" t="e">
        <f>AND(Calculations!G67,"AAAAAHx/54s=")</f>
        <v>#VALUE!</v>
      </c>
      <c r="EK6" t="e">
        <f>AND(Calculations!H67,"AAAAAHx/54w=")</f>
        <v>#VALUE!</v>
      </c>
      <c r="EL6" t="e">
        <f>AND(Calculations!I67,"AAAAAHx/540=")</f>
        <v>#VALUE!</v>
      </c>
      <c r="EM6" t="e">
        <f>AND(Calculations!J67,"AAAAAHx/544=")</f>
        <v>#VALUE!</v>
      </c>
      <c r="EN6" t="e">
        <f>AND(Calculations!K67,"AAAAAHx/548=")</f>
        <v>#VALUE!</v>
      </c>
      <c r="EO6" t="e">
        <f>AND(Calculations!L67,"AAAAAHx/55A=")</f>
        <v>#VALUE!</v>
      </c>
      <c r="EP6" t="e">
        <f>AND(Calculations!M67,"AAAAAHx/55E=")</f>
        <v>#VALUE!</v>
      </c>
      <c r="EQ6" t="e">
        <f>AND(Calculations!N67,"AAAAAHx/55I=")</f>
        <v>#VALUE!</v>
      </c>
      <c r="ER6" t="e">
        <f>AND(Calculations!O67,"AAAAAHx/55M=")</f>
        <v>#VALUE!</v>
      </c>
      <c r="ES6" t="e">
        <f>AND(Calculations!P67,"AAAAAHx/55Q=")</f>
        <v>#VALUE!</v>
      </c>
      <c r="ET6" t="e">
        <f>AND(Calculations!Q67,"AAAAAHx/55U=")</f>
        <v>#VALUE!</v>
      </c>
      <c r="EU6">
        <f>IF(Calculations!68:68,"AAAAAHx/55Y=",0)</f>
        <v>0</v>
      </c>
      <c r="EV6" t="e">
        <f>AND(Calculations!A68,"AAAAAHx/55c=")</f>
        <v>#VALUE!</v>
      </c>
      <c r="EW6" t="e">
        <f>AND(Calculations!B68,"AAAAAHx/55g=")</f>
        <v>#VALUE!</v>
      </c>
      <c r="EX6" t="e">
        <f>AND(Calculations!C68,"AAAAAHx/55k=")</f>
        <v>#VALUE!</v>
      </c>
      <c r="EY6" t="e">
        <f>AND(Calculations!D68,"AAAAAHx/55o=")</f>
        <v>#VALUE!</v>
      </c>
      <c r="EZ6" t="e">
        <f>AND(Calculations!E68,"AAAAAHx/55s=")</f>
        <v>#VALUE!</v>
      </c>
      <c r="FA6" t="e">
        <f>AND(Calculations!F68,"AAAAAHx/55w=")</f>
        <v>#VALUE!</v>
      </c>
      <c r="FB6" t="e">
        <f>AND(Calculations!G68,"AAAAAHx/550=")</f>
        <v>#VALUE!</v>
      </c>
      <c r="FC6" t="e">
        <f>AND(Calculations!H68,"AAAAAHx/554=")</f>
        <v>#VALUE!</v>
      </c>
      <c r="FD6" t="e">
        <f>AND(Calculations!I68,"AAAAAHx/558=")</f>
        <v>#VALUE!</v>
      </c>
      <c r="FE6" t="e">
        <f>AND(Calculations!J68,"AAAAAHx/56A=")</f>
        <v>#VALUE!</v>
      </c>
      <c r="FF6" t="e">
        <f>AND(Calculations!K68,"AAAAAHx/56E=")</f>
        <v>#VALUE!</v>
      </c>
      <c r="FG6" t="e">
        <f>AND(Calculations!L68,"AAAAAHx/56I=")</f>
        <v>#VALUE!</v>
      </c>
      <c r="FH6" t="e">
        <f>AND(Calculations!M68,"AAAAAHx/56M=")</f>
        <v>#VALUE!</v>
      </c>
      <c r="FI6" t="e">
        <f>AND(Calculations!N68,"AAAAAHx/56Q=")</f>
        <v>#VALUE!</v>
      </c>
      <c r="FJ6" t="e">
        <f>AND(Calculations!O68,"AAAAAHx/56U=")</f>
        <v>#VALUE!</v>
      </c>
      <c r="FK6" t="e">
        <f>AND(Calculations!P68,"AAAAAHx/56Y=")</f>
        <v>#VALUE!</v>
      </c>
      <c r="FL6" t="e">
        <f>AND(Calculations!Q68,"AAAAAHx/56c=")</f>
        <v>#VALUE!</v>
      </c>
      <c r="FM6">
        <f>IF(Calculations!69:69,"AAAAAHx/56g=",0)</f>
        <v>0</v>
      </c>
      <c r="FN6" t="e">
        <f>AND(Calculations!A69,"AAAAAHx/56k=")</f>
        <v>#VALUE!</v>
      </c>
      <c r="FO6" t="e">
        <f>AND(Calculations!B69,"AAAAAHx/56o=")</f>
        <v>#VALUE!</v>
      </c>
      <c r="FP6" t="e">
        <f>AND(Calculations!C69,"AAAAAHx/56s=")</f>
        <v>#VALUE!</v>
      </c>
      <c r="FQ6" t="e">
        <f>AND(Calculations!D69,"AAAAAHx/56w=")</f>
        <v>#VALUE!</v>
      </c>
      <c r="FR6" t="e">
        <f>AND(Calculations!E69,"AAAAAHx/560=")</f>
        <v>#VALUE!</v>
      </c>
      <c r="FS6" t="e">
        <f>AND(Calculations!F69,"AAAAAHx/564=")</f>
        <v>#VALUE!</v>
      </c>
      <c r="FT6" t="e">
        <f>AND(Calculations!G69,"AAAAAHx/568=")</f>
        <v>#VALUE!</v>
      </c>
      <c r="FU6" t="e">
        <f>AND(Calculations!H69,"AAAAAHx/57A=")</f>
        <v>#VALUE!</v>
      </c>
      <c r="FV6" t="e">
        <f>AND(Calculations!I69,"AAAAAHx/57E=")</f>
        <v>#VALUE!</v>
      </c>
      <c r="FW6" t="e">
        <f>AND(Calculations!J69,"AAAAAHx/57I=")</f>
        <v>#VALUE!</v>
      </c>
      <c r="FX6" t="e">
        <f>AND(Calculations!K69,"AAAAAHx/57M=")</f>
        <v>#VALUE!</v>
      </c>
      <c r="FY6" t="e">
        <f>AND(Calculations!L69,"AAAAAHx/57Q=")</f>
        <v>#VALUE!</v>
      </c>
      <c r="FZ6" t="e">
        <f>AND(Calculations!M69,"AAAAAHx/57U=")</f>
        <v>#VALUE!</v>
      </c>
      <c r="GA6" t="e">
        <f>AND(Calculations!N69,"AAAAAHx/57Y=")</f>
        <v>#VALUE!</v>
      </c>
      <c r="GB6" t="e">
        <f>AND(Calculations!O69,"AAAAAHx/57c=")</f>
        <v>#VALUE!</v>
      </c>
      <c r="GC6" t="e">
        <f>AND(Calculations!P69,"AAAAAHx/57g=")</f>
        <v>#VALUE!</v>
      </c>
      <c r="GD6" t="e">
        <f>AND(Calculations!Q69,"AAAAAHx/57k=")</f>
        <v>#VALUE!</v>
      </c>
      <c r="GE6">
        <f>IF(Calculations!70:70,"AAAAAHx/57o=",0)</f>
        <v>0</v>
      </c>
      <c r="GF6" t="e">
        <f>AND(Calculations!A70,"AAAAAHx/57s=")</f>
        <v>#VALUE!</v>
      </c>
      <c r="GG6" t="e">
        <f>AND(Calculations!B70,"AAAAAHx/57w=")</f>
        <v>#VALUE!</v>
      </c>
      <c r="GH6" t="e">
        <f>AND(Calculations!C70,"AAAAAHx/570=")</f>
        <v>#VALUE!</v>
      </c>
      <c r="GI6" t="e">
        <f>AND(Calculations!D70,"AAAAAHx/574=")</f>
        <v>#VALUE!</v>
      </c>
      <c r="GJ6" t="e">
        <f>AND(Calculations!E70,"AAAAAHx/578=")</f>
        <v>#VALUE!</v>
      </c>
      <c r="GK6" t="e">
        <f>AND(Calculations!F70,"AAAAAHx/58A=")</f>
        <v>#VALUE!</v>
      </c>
      <c r="GL6" t="e">
        <f>AND(Calculations!G70,"AAAAAHx/58E=")</f>
        <v>#VALUE!</v>
      </c>
      <c r="GM6" t="e">
        <f>AND(Calculations!H70,"AAAAAHx/58I=")</f>
        <v>#VALUE!</v>
      </c>
      <c r="GN6" t="e">
        <f>AND(Calculations!I70,"AAAAAHx/58M=")</f>
        <v>#VALUE!</v>
      </c>
      <c r="GO6" t="e">
        <f>AND(Calculations!J70,"AAAAAHx/58Q=")</f>
        <v>#VALUE!</v>
      </c>
      <c r="GP6" t="e">
        <f>AND(Calculations!K70,"AAAAAHx/58U=")</f>
        <v>#VALUE!</v>
      </c>
      <c r="GQ6" t="e">
        <f>AND(Calculations!L70,"AAAAAHx/58Y=")</f>
        <v>#VALUE!</v>
      </c>
      <c r="GR6" t="e">
        <f>AND(Calculations!M70,"AAAAAHx/58c=")</f>
        <v>#VALUE!</v>
      </c>
      <c r="GS6" t="e">
        <f>AND(Calculations!N70,"AAAAAHx/58g=")</f>
        <v>#VALUE!</v>
      </c>
      <c r="GT6" t="e">
        <f>AND(Calculations!O70,"AAAAAHx/58k=")</f>
        <v>#VALUE!</v>
      </c>
      <c r="GU6" t="e">
        <f>AND(Calculations!P70,"AAAAAHx/58o=")</f>
        <v>#VALUE!</v>
      </c>
      <c r="GV6" t="e">
        <f>AND(Calculations!Q70,"AAAAAHx/58s=")</f>
        <v>#VALUE!</v>
      </c>
      <c r="GW6">
        <f>IF(Calculations!71:71,"AAAAAHx/58w=",0)</f>
        <v>0</v>
      </c>
      <c r="GX6" t="e">
        <f>AND(Calculations!A71,"AAAAAHx/580=")</f>
        <v>#VALUE!</v>
      </c>
      <c r="GY6" t="e">
        <f>AND(Calculations!B71,"AAAAAHx/584=")</f>
        <v>#VALUE!</v>
      </c>
      <c r="GZ6" t="e">
        <f>AND(Calculations!C71,"AAAAAHx/588=")</f>
        <v>#VALUE!</v>
      </c>
      <c r="HA6" t="e">
        <f>AND(Calculations!D71,"AAAAAHx/59A=")</f>
        <v>#VALUE!</v>
      </c>
      <c r="HB6" t="e">
        <f>AND(Calculations!E71,"AAAAAHx/59E=")</f>
        <v>#VALUE!</v>
      </c>
      <c r="HC6" t="e">
        <f>AND(Calculations!F71,"AAAAAHx/59I=")</f>
        <v>#VALUE!</v>
      </c>
      <c r="HD6" t="e">
        <f>AND(Calculations!G71,"AAAAAHx/59M=")</f>
        <v>#VALUE!</v>
      </c>
      <c r="HE6" t="e">
        <f>AND(Calculations!H71,"AAAAAHx/59Q=")</f>
        <v>#VALUE!</v>
      </c>
      <c r="HF6" t="e">
        <f>AND(Calculations!I71,"AAAAAHx/59U=")</f>
        <v>#VALUE!</v>
      </c>
      <c r="HG6" t="e">
        <f>AND(Calculations!J71,"AAAAAHx/59Y=")</f>
        <v>#VALUE!</v>
      </c>
      <c r="HH6" t="e">
        <f>AND(Calculations!K71,"AAAAAHx/59c=")</f>
        <v>#VALUE!</v>
      </c>
      <c r="HI6" t="e">
        <f>AND(Calculations!L71,"AAAAAHx/59g=")</f>
        <v>#VALUE!</v>
      </c>
      <c r="HJ6" t="e">
        <f>AND(Calculations!M71,"AAAAAHx/59k=")</f>
        <v>#VALUE!</v>
      </c>
      <c r="HK6" t="e">
        <f>AND(Calculations!N71,"AAAAAHx/59o=")</f>
        <v>#VALUE!</v>
      </c>
      <c r="HL6" t="e">
        <f>AND(Calculations!O71,"AAAAAHx/59s=")</f>
        <v>#VALUE!</v>
      </c>
      <c r="HM6" t="e">
        <f>AND(Calculations!P71,"AAAAAHx/59w=")</f>
        <v>#VALUE!</v>
      </c>
      <c r="HN6" t="e">
        <f>AND(Calculations!Q71,"AAAAAHx/590=")</f>
        <v>#VALUE!</v>
      </c>
      <c r="HO6">
        <f>IF(Calculations!72:72,"AAAAAHx/594=",0)</f>
        <v>0</v>
      </c>
      <c r="HP6" t="e">
        <f>AND(Calculations!A72,"AAAAAHx/598=")</f>
        <v>#VALUE!</v>
      </c>
      <c r="HQ6" t="e">
        <f>AND(Calculations!B72,"AAAAAHx/5+A=")</f>
        <v>#VALUE!</v>
      </c>
      <c r="HR6" t="e">
        <f>AND(Calculations!C72,"AAAAAHx/5+E=")</f>
        <v>#VALUE!</v>
      </c>
      <c r="HS6" t="e">
        <f>AND(Calculations!D72,"AAAAAHx/5+I=")</f>
        <v>#VALUE!</v>
      </c>
      <c r="HT6" t="e">
        <f>AND(Calculations!E72,"AAAAAHx/5+M=")</f>
        <v>#VALUE!</v>
      </c>
      <c r="HU6" t="e">
        <f>AND(Calculations!F72,"AAAAAHx/5+Q=")</f>
        <v>#VALUE!</v>
      </c>
      <c r="HV6" t="e">
        <f>AND(Calculations!G72,"AAAAAHx/5+U=")</f>
        <v>#VALUE!</v>
      </c>
      <c r="HW6" t="e">
        <f>AND(Calculations!H72,"AAAAAHx/5+Y=")</f>
        <v>#VALUE!</v>
      </c>
      <c r="HX6" t="e">
        <f>AND(Calculations!I72,"AAAAAHx/5+c=")</f>
        <v>#VALUE!</v>
      </c>
      <c r="HY6" t="e">
        <f>AND(Calculations!J72,"AAAAAHx/5+g=")</f>
        <v>#VALUE!</v>
      </c>
      <c r="HZ6" t="e">
        <f>AND(Calculations!K72,"AAAAAHx/5+k=")</f>
        <v>#VALUE!</v>
      </c>
      <c r="IA6" t="e">
        <f>AND(Calculations!L72,"AAAAAHx/5+o=")</f>
        <v>#VALUE!</v>
      </c>
      <c r="IB6" t="e">
        <f>AND(Calculations!M72,"AAAAAHx/5+s=")</f>
        <v>#VALUE!</v>
      </c>
      <c r="IC6" t="e">
        <f>AND(Calculations!N72,"AAAAAHx/5+w=")</f>
        <v>#VALUE!</v>
      </c>
      <c r="ID6" t="e">
        <f>AND(Calculations!O72,"AAAAAHx/5+0=")</f>
        <v>#VALUE!</v>
      </c>
      <c r="IE6" t="e">
        <f>AND(Calculations!P72,"AAAAAHx/5+4=")</f>
        <v>#VALUE!</v>
      </c>
      <c r="IF6" t="e">
        <f>AND(Calculations!Q72,"AAAAAHx/5+8=")</f>
        <v>#VALUE!</v>
      </c>
      <c r="IG6">
        <f>IF(Calculations!73:73,"AAAAAHx/5/A=",0)</f>
        <v>0</v>
      </c>
      <c r="IH6" t="e">
        <f>AND(Calculations!A73,"AAAAAHx/5/E=")</f>
        <v>#VALUE!</v>
      </c>
      <c r="II6" t="e">
        <f>AND(Calculations!B73,"AAAAAHx/5/I=")</f>
        <v>#VALUE!</v>
      </c>
      <c r="IJ6" t="e">
        <f>AND(Calculations!C73,"AAAAAHx/5/M=")</f>
        <v>#VALUE!</v>
      </c>
      <c r="IK6" t="e">
        <f>AND(Calculations!D73,"AAAAAHx/5/Q=")</f>
        <v>#VALUE!</v>
      </c>
      <c r="IL6" t="e">
        <f>AND(Calculations!E73,"AAAAAHx/5/U=")</f>
        <v>#VALUE!</v>
      </c>
      <c r="IM6" t="e">
        <f>AND(Calculations!F73,"AAAAAHx/5/Y=")</f>
        <v>#VALUE!</v>
      </c>
      <c r="IN6" t="e">
        <f>AND(Calculations!G73,"AAAAAHx/5/c=")</f>
        <v>#VALUE!</v>
      </c>
      <c r="IO6" t="e">
        <f>AND(Calculations!H73,"AAAAAHx/5/g=")</f>
        <v>#VALUE!</v>
      </c>
      <c r="IP6" t="e">
        <f>AND(Calculations!I73,"AAAAAHx/5/k=")</f>
        <v>#VALUE!</v>
      </c>
      <c r="IQ6" t="e">
        <f>AND(Calculations!J73,"AAAAAHx/5/o=")</f>
        <v>#VALUE!</v>
      </c>
      <c r="IR6" t="e">
        <f>AND(Calculations!K73,"AAAAAHx/5/s=")</f>
        <v>#VALUE!</v>
      </c>
      <c r="IS6" t="e">
        <f>AND(Calculations!L73,"AAAAAHx/5/w=")</f>
        <v>#VALUE!</v>
      </c>
      <c r="IT6" t="e">
        <f>AND(Calculations!M73,"AAAAAHx/5/0=")</f>
        <v>#VALUE!</v>
      </c>
      <c r="IU6" t="e">
        <f>AND(Calculations!N73,"AAAAAHx/5/4=")</f>
        <v>#VALUE!</v>
      </c>
      <c r="IV6" t="e">
        <f>AND(Calculations!O73,"AAAAAHx/5/8=")</f>
        <v>#VALUE!</v>
      </c>
    </row>
    <row r="7" spans="1:256" x14ac:dyDescent="0.25">
      <c r="A7" t="e">
        <f>AND(Calculations!P73,"AAAAAH//mwA=")</f>
        <v>#VALUE!</v>
      </c>
      <c r="B7" t="e">
        <f>AND(Calculations!Q73,"AAAAAH//mwE=")</f>
        <v>#VALUE!</v>
      </c>
      <c r="C7" t="str">
        <f>IF(Calculations!74:74,"AAAAAH//mwI=",0)</f>
        <v>AAAAAH//mwI=</v>
      </c>
      <c r="D7" t="e">
        <f>AND(Calculations!A74,"AAAAAH//mwM=")</f>
        <v>#VALUE!</v>
      </c>
      <c r="E7" t="e">
        <f>AND(Calculations!B74,"AAAAAH//mwQ=")</f>
        <v>#VALUE!</v>
      </c>
      <c r="F7" t="e">
        <f>AND(Calculations!C74,"AAAAAH//mwU=")</f>
        <v>#VALUE!</v>
      </c>
      <c r="G7" t="e">
        <f>AND(Calculations!D74,"AAAAAH//mwY=")</f>
        <v>#VALUE!</v>
      </c>
      <c r="H7" t="e">
        <f>AND(Calculations!E74,"AAAAAH//mwc=")</f>
        <v>#VALUE!</v>
      </c>
      <c r="I7" t="e">
        <f>AND(Calculations!F74,"AAAAAH//mwg=")</f>
        <v>#VALUE!</v>
      </c>
      <c r="J7" t="e">
        <f>AND(Calculations!G74,"AAAAAH//mwk=")</f>
        <v>#VALUE!</v>
      </c>
      <c r="K7" t="e">
        <f>AND(Calculations!H74,"AAAAAH//mwo=")</f>
        <v>#VALUE!</v>
      </c>
      <c r="L7" t="e">
        <f>AND(Calculations!I74,"AAAAAH//mws=")</f>
        <v>#VALUE!</v>
      </c>
      <c r="M7" t="e">
        <f>AND(Calculations!J74,"AAAAAH//mww=")</f>
        <v>#VALUE!</v>
      </c>
      <c r="N7" t="e">
        <f>AND(Calculations!K74,"AAAAAH//mw0=")</f>
        <v>#VALUE!</v>
      </c>
      <c r="O7" t="e">
        <f>AND(Calculations!L74,"AAAAAH//mw4=")</f>
        <v>#VALUE!</v>
      </c>
      <c r="P7" t="e">
        <f>AND(Calculations!M74,"AAAAAH//mw8=")</f>
        <v>#VALUE!</v>
      </c>
      <c r="Q7" t="e">
        <f>AND(Calculations!N74,"AAAAAH//mxA=")</f>
        <v>#VALUE!</v>
      </c>
      <c r="R7" t="e">
        <f>AND(Calculations!O74,"AAAAAH//mxE=")</f>
        <v>#VALUE!</v>
      </c>
      <c r="S7" t="e">
        <f>AND(Calculations!P74,"AAAAAH//mxI=")</f>
        <v>#VALUE!</v>
      </c>
      <c r="T7" t="e">
        <f>AND(Calculations!Q74,"AAAAAH//mxM=")</f>
        <v>#VALUE!</v>
      </c>
      <c r="U7">
        <f>IF(Calculations!75:75,"AAAAAH//mxQ=",0)</f>
        <v>0</v>
      </c>
      <c r="V7" t="e">
        <f>AND(Calculations!A75,"AAAAAH//mxU=")</f>
        <v>#VALUE!</v>
      </c>
      <c r="W7" t="e">
        <f>AND(Calculations!B75,"AAAAAH//mxY=")</f>
        <v>#VALUE!</v>
      </c>
      <c r="X7" t="e">
        <f>AND(Calculations!C75,"AAAAAH//mxc=")</f>
        <v>#VALUE!</v>
      </c>
      <c r="Y7" t="e">
        <f>AND(Calculations!D75,"AAAAAH//mxg=")</f>
        <v>#VALUE!</v>
      </c>
      <c r="Z7" t="e">
        <f>AND(Calculations!E75,"AAAAAH//mxk=")</f>
        <v>#VALUE!</v>
      </c>
      <c r="AA7" t="e">
        <f>AND(Calculations!F75,"AAAAAH//mxo=")</f>
        <v>#VALUE!</v>
      </c>
      <c r="AB7" t="e">
        <f>AND(Calculations!G75,"AAAAAH//mxs=")</f>
        <v>#VALUE!</v>
      </c>
      <c r="AC7" t="e">
        <f>AND(Calculations!H75,"AAAAAH//mxw=")</f>
        <v>#VALUE!</v>
      </c>
      <c r="AD7" t="e">
        <f>AND(Calculations!I75,"AAAAAH//mx0=")</f>
        <v>#VALUE!</v>
      </c>
      <c r="AE7" t="e">
        <f>AND(Calculations!J75,"AAAAAH//mx4=")</f>
        <v>#VALUE!</v>
      </c>
      <c r="AF7" t="e">
        <f>AND(Calculations!K75,"AAAAAH//mx8=")</f>
        <v>#VALUE!</v>
      </c>
      <c r="AG7" t="e">
        <f>AND(Calculations!L75,"AAAAAH//myA=")</f>
        <v>#VALUE!</v>
      </c>
      <c r="AH7" t="e">
        <f>AND(Calculations!M75,"AAAAAH//myE=")</f>
        <v>#VALUE!</v>
      </c>
      <c r="AI7" t="e">
        <f>AND(Calculations!N75,"AAAAAH//myI=")</f>
        <v>#VALUE!</v>
      </c>
      <c r="AJ7" t="e">
        <f>AND(Calculations!O75,"AAAAAH//myM=")</f>
        <v>#VALUE!</v>
      </c>
      <c r="AK7" t="e">
        <f>AND(Calculations!P75,"AAAAAH//myQ=")</f>
        <v>#VALUE!</v>
      </c>
      <c r="AL7" t="e">
        <f>AND(Calculations!Q75,"AAAAAH//myU=")</f>
        <v>#VALUE!</v>
      </c>
      <c r="AM7">
        <f>IF(Calculations!76:76,"AAAAAH//myY=",0)</f>
        <v>0</v>
      </c>
      <c r="AN7" t="e">
        <f>AND(Calculations!A76,"AAAAAH//myc=")</f>
        <v>#VALUE!</v>
      </c>
      <c r="AO7" t="e">
        <f>AND(Calculations!B76,"AAAAAH//myg=")</f>
        <v>#VALUE!</v>
      </c>
      <c r="AP7" t="e">
        <f>AND(Calculations!C76,"AAAAAH//myk=")</f>
        <v>#VALUE!</v>
      </c>
      <c r="AQ7" t="e">
        <f>AND(Calculations!D76,"AAAAAH//myo=")</f>
        <v>#VALUE!</v>
      </c>
      <c r="AR7" t="e">
        <f>AND(Calculations!E76,"AAAAAH//mys=")</f>
        <v>#VALUE!</v>
      </c>
      <c r="AS7" t="e">
        <f>AND(Calculations!F76,"AAAAAH//myw=")</f>
        <v>#VALUE!</v>
      </c>
      <c r="AT7" t="e">
        <f>AND(Calculations!G76,"AAAAAH//my0=")</f>
        <v>#VALUE!</v>
      </c>
      <c r="AU7" t="e">
        <f>AND(Calculations!H76,"AAAAAH//my4=")</f>
        <v>#VALUE!</v>
      </c>
      <c r="AV7" t="e">
        <f>AND(Calculations!I76,"AAAAAH//my8=")</f>
        <v>#VALUE!</v>
      </c>
      <c r="AW7" t="e">
        <f>AND(Calculations!J76,"AAAAAH//mzA=")</f>
        <v>#VALUE!</v>
      </c>
      <c r="AX7" t="e">
        <f>AND(Calculations!K76,"AAAAAH//mzE=")</f>
        <v>#VALUE!</v>
      </c>
      <c r="AY7" t="e">
        <f>AND(Calculations!L76,"AAAAAH//mzI=")</f>
        <v>#VALUE!</v>
      </c>
      <c r="AZ7" t="e">
        <f>AND(Calculations!M76,"AAAAAH//mzM=")</f>
        <v>#VALUE!</v>
      </c>
      <c r="BA7" t="e">
        <f>AND(Calculations!N76,"AAAAAH//mzQ=")</f>
        <v>#VALUE!</v>
      </c>
      <c r="BB7" t="e">
        <f>AND(Calculations!O76,"AAAAAH//mzU=")</f>
        <v>#VALUE!</v>
      </c>
      <c r="BC7" t="e">
        <f>AND(Calculations!P76,"AAAAAH//mzY=")</f>
        <v>#VALUE!</v>
      </c>
      <c r="BD7" t="e">
        <f>AND(Calculations!Q76,"AAAAAH//mzc=")</f>
        <v>#VALUE!</v>
      </c>
      <c r="BE7">
        <f>IF(Calculations!77:77,"AAAAAH//mzg=",0)</f>
        <v>0</v>
      </c>
      <c r="BF7" t="e">
        <f>AND(Calculations!A77,"AAAAAH//mzk=")</f>
        <v>#VALUE!</v>
      </c>
      <c r="BG7" t="e">
        <f>AND(Calculations!B77,"AAAAAH//mzo=")</f>
        <v>#VALUE!</v>
      </c>
      <c r="BH7" t="e">
        <f>AND(Calculations!C77,"AAAAAH//mzs=")</f>
        <v>#VALUE!</v>
      </c>
      <c r="BI7" t="e">
        <f>AND(Calculations!D77,"AAAAAH//mzw=")</f>
        <v>#VALUE!</v>
      </c>
      <c r="BJ7" t="e">
        <f>AND(Calculations!E77,"AAAAAH//mz0=")</f>
        <v>#VALUE!</v>
      </c>
      <c r="BK7" t="e">
        <f>AND(Calculations!F77,"AAAAAH//mz4=")</f>
        <v>#VALUE!</v>
      </c>
      <c r="BL7" t="e">
        <f>AND(Calculations!G77,"AAAAAH//mz8=")</f>
        <v>#VALUE!</v>
      </c>
      <c r="BM7" t="e">
        <f>AND(Calculations!H77,"AAAAAH//m0A=")</f>
        <v>#VALUE!</v>
      </c>
      <c r="BN7" t="e">
        <f>AND(Calculations!I77,"AAAAAH//m0E=")</f>
        <v>#VALUE!</v>
      </c>
      <c r="BO7" t="e">
        <f>AND(Calculations!J77,"AAAAAH//m0I=")</f>
        <v>#VALUE!</v>
      </c>
      <c r="BP7" t="e">
        <f>AND(Calculations!K77,"AAAAAH//m0M=")</f>
        <v>#VALUE!</v>
      </c>
      <c r="BQ7" t="e">
        <f>AND(Calculations!L77,"AAAAAH//m0Q=")</f>
        <v>#VALUE!</v>
      </c>
      <c r="BR7" t="e">
        <f>AND(Calculations!M77,"AAAAAH//m0U=")</f>
        <v>#VALUE!</v>
      </c>
      <c r="BS7" t="e">
        <f>AND(Calculations!N77,"AAAAAH//m0Y=")</f>
        <v>#VALUE!</v>
      </c>
      <c r="BT7" t="e">
        <f>AND(Calculations!O77,"AAAAAH//m0c=")</f>
        <v>#VALUE!</v>
      </c>
      <c r="BU7" t="e">
        <f>AND(Calculations!P77,"AAAAAH//m0g=")</f>
        <v>#VALUE!</v>
      </c>
      <c r="BV7" t="e">
        <f>AND(Calculations!Q77,"AAAAAH//m0k=")</f>
        <v>#VALUE!</v>
      </c>
      <c r="BW7">
        <f>IF(Calculations!78:78,"AAAAAH//m0o=",0)</f>
        <v>0</v>
      </c>
      <c r="BX7" t="e">
        <f>AND(Calculations!A78,"AAAAAH//m0s=")</f>
        <v>#VALUE!</v>
      </c>
      <c r="BY7" t="e">
        <f>AND(Calculations!B78,"AAAAAH//m0w=")</f>
        <v>#VALUE!</v>
      </c>
      <c r="BZ7" t="e">
        <f>AND(Calculations!C78,"AAAAAH//m00=")</f>
        <v>#VALUE!</v>
      </c>
      <c r="CA7" t="e">
        <f>AND(Calculations!D78,"AAAAAH//m04=")</f>
        <v>#VALUE!</v>
      </c>
      <c r="CB7" t="e">
        <f>AND(Calculations!E78,"AAAAAH//m08=")</f>
        <v>#VALUE!</v>
      </c>
      <c r="CC7" t="e">
        <f>AND(Calculations!F78,"AAAAAH//m1A=")</f>
        <v>#VALUE!</v>
      </c>
      <c r="CD7" t="e">
        <f>AND(Calculations!G78,"AAAAAH//m1E=")</f>
        <v>#VALUE!</v>
      </c>
      <c r="CE7" t="e">
        <f>AND(Calculations!H78,"AAAAAH//m1I=")</f>
        <v>#VALUE!</v>
      </c>
      <c r="CF7" t="e">
        <f>AND(Calculations!I78,"AAAAAH//m1M=")</f>
        <v>#VALUE!</v>
      </c>
      <c r="CG7" t="e">
        <f>AND(Calculations!J78,"AAAAAH//m1Q=")</f>
        <v>#VALUE!</v>
      </c>
      <c r="CH7" t="e">
        <f>AND(Calculations!K78,"AAAAAH//m1U=")</f>
        <v>#VALUE!</v>
      </c>
      <c r="CI7" t="e">
        <f>AND(Calculations!L78,"AAAAAH//m1Y=")</f>
        <v>#VALUE!</v>
      </c>
      <c r="CJ7" t="e">
        <f>AND(Calculations!M78,"AAAAAH//m1c=")</f>
        <v>#VALUE!</v>
      </c>
      <c r="CK7" t="e">
        <f>AND(Calculations!N78,"AAAAAH//m1g=")</f>
        <v>#VALUE!</v>
      </c>
      <c r="CL7" t="e">
        <f>AND(Calculations!O78,"AAAAAH//m1k=")</f>
        <v>#VALUE!</v>
      </c>
      <c r="CM7" t="e">
        <f>AND(Calculations!P78,"AAAAAH//m1o=")</f>
        <v>#VALUE!</v>
      </c>
      <c r="CN7" t="e">
        <f>AND(Calculations!Q78,"AAAAAH//m1s=")</f>
        <v>#VALUE!</v>
      </c>
      <c r="CO7">
        <f>IF(Calculations!79:79,"AAAAAH//m1w=",0)</f>
        <v>0</v>
      </c>
      <c r="CP7" t="e">
        <f>AND(Calculations!A79,"AAAAAH//m10=")</f>
        <v>#VALUE!</v>
      </c>
      <c r="CQ7" t="e">
        <f>AND(Calculations!B79,"AAAAAH//m14=")</f>
        <v>#VALUE!</v>
      </c>
      <c r="CR7" t="e">
        <f>AND(Calculations!C79,"AAAAAH//m18=")</f>
        <v>#VALUE!</v>
      </c>
      <c r="CS7" t="e">
        <f>AND(Calculations!D79,"AAAAAH//m2A=")</f>
        <v>#VALUE!</v>
      </c>
      <c r="CT7" t="e">
        <f>AND(Calculations!E79,"AAAAAH//m2E=")</f>
        <v>#VALUE!</v>
      </c>
      <c r="CU7" t="e">
        <f>AND(Calculations!F79,"AAAAAH//m2I=")</f>
        <v>#VALUE!</v>
      </c>
      <c r="CV7" t="e">
        <f>AND(Calculations!G79,"AAAAAH//m2M=")</f>
        <v>#VALUE!</v>
      </c>
      <c r="CW7" t="e">
        <f>AND(Calculations!H79,"AAAAAH//m2Q=")</f>
        <v>#VALUE!</v>
      </c>
      <c r="CX7" t="e">
        <f>AND(Calculations!I79,"AAAAAH//m2U=")</f>
        <v>#VALUE!</v>
      </c>
      <c r="CY7" t="e">
        <f>AND(Calculations!J79,"AAAAAH//m2Y=")</f>
        <v>#VALUE!</v>
      </c>
      <c r="CZ7" t="e">
        <f>AND(Calculations!K79,"AAAAAH//m2c=")</f>
        <v>#VALUE!</v>
      </c>
      <c r="DA7" t="e">
        <f>AND(Calculations!L79,"AAAAAH//m2g=")</f>
        <v>#VALUE!</v>
      </c>
      <c r="DB7" t="e">
        <f>AND(Calculations!M79,"AAAAAH//m2k=")</f>
        <v>#VALUE!</v>
      </c>
      <c r="DC7" t="e">
        <f>AND(Calculations!N79,"AAAAAH//m2o=")</f>
        <v>#VALUE!</v>
      </c>
      <c r="DD7" t="e">
        <f>AND(Calculations!O79,"AAAAAH//m2s=")</f>
        <v>#VALUE!</v>
      </c>
      <c r="DE7" t="e">
        <f>AND(Calculations!P79,"AAAAAH//m2w=")</f>
        <v>#VALUE!</v>
      </c>
      <c r="DF7" t="e">
        <f>AND(Calculations!Q79,"AAAAAH//m20=")</f>
        <v>#VALUE!</v>
      </c>
      <c r="DG7">
        <f>IF(Calculations!80:80,"AAAAAH//m24=",0)</f>
        <v>0</v>
      </c>
      <c r="DH7" t="e">
        <f>AND(Calculations!A80,"AAAAAH//m28=")</f>
        <v>#VALUE!</v>
      </c>
      <c r="DI7" t="e">
        <f>AND(Calculations!B80,"AAAAAH//m3A=")</f>
        <v>#VALUE!</v>
      </c>
      <c r="DJ7" t="e">
        <f>AND(Calculations!C80,"AAAAAH//m3E=")</f>
        <v>#VALUE!</v>
      </c>
      <c r="DK7" t="e">
        <f>AND(Calculations!D80,"AAAAAH//m3I=")</f>
        <v>#VALUE!</v>
      </c>
      <c r="DL7" t="e">
        <f>AND(Calculations!E80,"AAAAAH//m3M=")</f>
        <v>#VALUE!</v>
      </c>
      <c r="DM7" t="e">
        <f>AND(Calculations!F80,"AAAAAH//m3Q=")</f>
        <v>#VALUE!</v>
      </c>
      <c r="DN7" t="e">
        <f>AND(Calculations!G80,"AAAAAH//m3U=")</f>
        <v>#VALUE!</v>
      </c>
      <c r="DO7" t="e">
        <f>AND(Calculations!H80,"AAAAAH//m3Y=")</f>
        <v>#VALUE!</v>
      </c>
      <c r="DP7" t="e">
        <f>AND(Calculations!I80,"AAAAAH//m3c=")</f>
        <v>#VALUE!</v>
      </c>
      <c r="DQ7" t="e">
        <f>AND(Calculations!J80,"AAAAAH//m3g=")</f>
        <v>#VALUE!</v>
      </c>
      <c r="DR7" t="e">
        <f>AND(Calculations!K80,"AAAAAH//m3k=")</f>
        <v>#VALUE!</v>
      </c>
      <c r="DS7" t="e">
        <f>AND(Calculations!L80,"AAAAAH//m3o=")</f>
        <v>#VALUE!</v>
      </c>
      <c r="DT7" t="e">
        <f>AND(Calculations!M80,"AAAAAH//m3s=")</f>
        <v>#VALUE!</v>
      </c>
      <c r="DU7" t="e">
        <f>AND(Calculations!N80,"AAAAAH//m3w=")</f>
        <v>#VALUE!</v>
      </c>
      <c r="DV7" t="e">
        <f>AND(Calculations!O80,"AAAAAH//m30=")</f>
        <v>#VALUE!</v>
      </c>
      <c r="DW7" t="e">
        <f>AND(Calculations!P80,"AAAAAH//m34=")</f>
        <v>#VALUE!</v>
      </c>
      <c r="DX7" t="e">
        <f>AND(Calculations!Q80,"AAAAAH//m38=")</f>
        <v>#VALUE!</v>
      </c>
      <c r="DY7">
        <f>IF(Calculations!81:81,"AAAAAH//m4A=",0)</f>
        <v>0</v>
      </c>
      <c r="DZ7" t="e">
        <f>AND(Calculations!A81,"AAAAAH//m4E=")</f>
        <v>#VALUE!</v>
      </c>
      <c r="EA7" t="e">
        <f>AND(Calculations!B81,"AAAAAH//m4I=")</f>
        <v>#VALUE!</v>
      </c>
      <c r="EB7" t="e">
        <f>AND(Calculations!C81,"AAAAAH//m4M=")</f>
        <v>#VALUE!</v>
      </c>
      <c r="EC7" t="e">
        <f>AND(Calculations!D81,"AAAAAH//m4Q=")</f>
        <v>#VALUE!</v>
      </c>
      <c r="ED7" t="e">
        <f>AND(Calculations!E81,"AAAAAH//m4U=")</f>
        <v>#VALUE!</v>
      </c>
      <c r="EE7" t="e">
        <f>AND(Calculations!F81,"AAAAAH//m4Y=")</f>
        <v>#VALUE!</v>
      </c>
      <c r="EF7" t="e">
        <f>AND(Calculations!G81,"AAAAAH//m4c=")</f>
        <v>#VALUE!</v>
      </c>
      <c r="EG7" t="e">
        <f>AND(Calculations!H81,"AAAAAH//m4g=")</f>
        <v>#VALUE!</v>
      </c>
      <c r="EH7" t="e">
        <f>AND(Calculations!I81,"AAAAAH//m4k=")</f>
        <v>#VALUE!</v>
      </c>
      <c r="EI7" t="e">
        <f>AND(Calculations!J81,"AAAAAH//m4o=")</f>
        <v>#VALUE!</v>
      </c>
      <c r="EJ7" t="e">
        <f>AND(Calculations!K81,"AAAAAH//m4s=")</f>
        <v>#VALUE!</v>
      </c>
      <c r="EK7" t="e">
        <f>AND(Calculations!L81,"AAAAAH//m4w=")</f>
        <v>#VALUE!</v>
      </c>
      <c r="EL7" t="e">
        <f>AND(Calculations!M81,"AAAAAH//m40=")</f>
        <v>#VALUE!</v>
      </c>
      <c r="EM7" t="e">
        <f>AND(Calculations!N81,"AAAAAH//m44=")</f>
        <v>#VALUE!</v>
      </c>
      <c r="EN7" t="e">
        <f>AND(Calculations!O81,"AAAAAH//m48=")</f>
        <v>#VALUE!</v>
      </c>
      <c r="EO7" t="e">
        <f>AND(Calculations!P81,"AAAAAH//m5A=")</f>
        <v>#VALUE!</v>
      </c>
      <c r="EP7" t="e">
        <f>AND(Calculations!Q81,"AAAAAH//m5E=")</f>
        <v>#VALUE!</v>
      </c>
      <c r="EQ7">
        <f>IF(Calculations!82:82,"AAAAAH//m5I=",0)</f>
        <v>0</v>
      </c>
      <c r="ER7" t="e">
        <f>AND(Calculations!A82,"AAAAAH//m5M=")</f>
        <v>#VALUE!</v>
      </c>
      <c r="ES7" t="e">
        <f>AND(Calculations!B82,"AAAAAH//m5Q=")</f>
        <v>#VALUE!</v>
      </c>
      <c r="ET7" t="e">
        <f>AND(Calculations!C82,"AAAAAH//m5U=")</f>
        <v>#VALUE!</v>
      </c>
      <c r="EU7" t="e">
        <f>AND(Calculations!D82,"AAAAAH//m5Y=")</f>
        <v>#VALUE!</v>
      </c>
      <c r="EV7" t="e">
        <f>AND(Calculations!E82,"AAAAAH//m5c=")</f>
        <v>#VALUE!</v>
      </c>
      <c r="EW7" t="e">
        <f>AND(Calculations!F82,"AAAAAH//m5g=")</f>
        <v>#VALUE!</v>
      </c>
      <c r="EX7" t="e">
        <f>AND(Calculations!G82,"AAAAAH//m5k=")</f>
        <v>#VALUE!</v>
      </c>
      <c r="EY7" t="e">
        <f>AND(Calculations!H82,"AAAAAH//m5o=")</f>
        <v>#VALUE!</v>
      </c>
      <c r="EZ7" t="e">
        <f>AND(Calculations!I82,"AAAAAH//m5s=")</f>
        <v>#VALUE!</v>
      </c>
      <c r="FA7" t="e">
        <f>AND(Calculations!J82,"AAAAAH//m5w=")</f>
        <v>#VALUE!</v>
      </c>
      <c r="FB7" t="e">
        <f>AND(Calculations!K82,"AAAAAH//m50=")</f>
        <v>#VALUE!</v>
      </c>
      <c r="FC7" t="e">
        <f>AND(Calculations!L82,"AAAAAH//m54=")</f>
        <v>#VALUE!</v>
      </c>
      <c r="FD7" t="e">
        <f>AND(Calculations!M82,"AAAAAH//m58=")</f>
        <v>#VALUE!</v>
      </c>
      <c r="FE7" t="e">
        <f>AND(Calculations!N82,"AAAAAH//m6A=")</f>
        <v>#VALUE!</v>
      </c>
      <c r="FF7" t="e">
        <f>AND(Calculations!O82,"AAAAAH//m6E=")</f>
        <v>#VALUE!</v>
      </c>
      <c r="FG7" t="e">
        <f>AND(Calculations!P82,"AAAAAH//m6I=")</f>
        <v>#VALUE!</v>
      </c>
      <c r="FH7" t="e">
        <f>AND(Calculations!Q82,"AAAAAH//m6M=")</f>
        <v>#VALUE!</v>
      </c>
      <c r="FI7">
        <f>IF(Calculations!83:83,"AAAAAH//m6Q=",0)</f>
        <v>0</v>
      </c>
      <c r="FJ7" t="e">
        <f>AND(Calculations!A83,"AAAAAH//m6U=")</f>
        <v>#VALUE!</v>
      </c>
      <c r="FK7" t="e">
        <f>AND(Calculations!B83,"AAAAAH//m6Y=")</f>
        <v>#VALUE!</v>
      </c>
      <c r="FL7" t="e">
        <f>AND(Calculations!C83,"AAAAAH//m6c=")</f>
        <v>#VALUE!</v>
      </c>
      <c r="FM7" t="e">
        <f>AND(Calculations!D83,"AAAAAH//m6g=")</f>
        <v>#VALUE!</v>
      </c>
      <c r="FN7" t="e">
        <f>AND(Calculations!E83,"AAAAAH//m6k=")</f>
        <v>#VALUE!</v>
      </c>
      <c r="FO7" t="e">
        <f>AND(Calculations!F83,"AAAAAH//m6o=")</f>
        <v>#VALUE!</v>
      </c>
      <c r="FP7" t="e">
        <f>AND(Calculations!G83,"AAAAAH//m6s=")</f>
        <v>#VALUE!</v>
      </c>
      <c r="FQ7" t="e">
        <f>AND(Calculations!H83,"AAAAAH//m6w=")</f>
        <v>#VALUE!</v>
      </c>
      <c r="FR7" t="e">
        <f>AND(Calculations!I83,"AAAAAH//m60=")</f>
        <v>#VALUE!</v>
      </c>
      <c r="FS7" t="e">
        <f>AND(Calculations!J83,"AAAAAH//m64=")</f>
        <v>#VALUE!</v>
      </c>
      <c r="FT7" t="e">
        <f>AND(Calculations!K83,"AAAAAH//m68=")</f>
        <v>#VALUE!</v>
      </c>
      <c r="FU7" t="e">
        <f>AND(Calculations!L83,"AAAAAH//m7A=")</f>
        <v>#VALUE!</v>
      </c>
      <c r="FV7" t="e">
        <f>AND(Calculations!M83,"AAAAAH//m7E=")</f>
        <v>#VALUE!</v>
      </c>
      <c r="FW7" t="e">
        <f>AND(Calculations!N83,"AAAAAH//m7I=")</f>
        <v>#VALUE!</v>
      </c>
      <c r="FX7" t="e">
        <f>AND(Calculations!O83,"AAAAAH//m7M=")</f>
        <v>#VALUE!</v>
      </c>
      <c r="FY7" t="e">
        <f>AND(Calculations!P83,"AAAAAH//m7Q=")</f>
        <v>#VALUE!</v>
      </c>
      <c r="FZ7" t="e">
        <f>AND(Calculations!Q83,"AAAAAH//m7U=")</f>
        <v>#VALUE!</v>
      </c>
      <c r="GA7">
        <f>IF(Calculations!84:84,"AAAAAH//m7Y=",0)</f>
        <v>0</v>
      </c>
      <c r="GB7" t="e">
        <f>AND(Calculations!A84,"AAAAAH//m7c=")</f>
        <v>#VALUE!</v>
      </c>
      <c r="GC7" t="e">
        <f>AND(Calculations!B84,"AAAAAH//m7g=")</f>
        <v>#VALUE!</v>
      </c>
      <c r="GD7" t="e">
        <f>AND(Calculations!C84,"AAAAAH//m7k=")</f>
        <v>#VALUE!</v>
      </c>
      <c r="GE7" t="e">
        <f>AND(Calculations!D84,"AAAAAH//m7o=")</f>
        <v>#VALUE!</v>
      </c>
      <c r="GF7" t="e">
        <f>AND(Calculations!E84,"AAAAAH//m7s=")</f>
        <v>#VALUE!</v>
      </c>
      <c r="GG7" t="e">
        <f>AND(Calculations!F84,"AAAAAH//m7w=")</f>
        <v>#VALUE!</v>
      </c>
      <c r="GH7" t="e">
        <f>AND(Calculations!G84,"AAAAAH//m70=")</f>
        <v>#VALUE!</v>
      </c>
      <c r="GI7" t="e">
        <f>AND(Calculations!H84,"AAAAAH//m74=")</f>
        <v>#VALUE!</v>
      </c>
      <c r="GJ7" t="e">
        <f>AND(Calculations!I84,"AAAAAH//m78=")</f>
        <v>#VALUE!</v>
      </c>
      <c r="GK7" t="e">
        <f>AND(Calculations!J84,"AAAAAH//m8A=")</f>
        <v>#VALUE!</v>
      </c>
      <c r="GL7" t="e">
        <f>AND(Calculations!K84,"AAAAAH//m8E=")</f>
        <v>#VALUE!</v>
      </c>
      <c r="GM7" t="e">
        <f>AND(Calculations!L84,"AAAAAH//m8I=")</f>
        <v>#VALUE!</v>
      </c>
      <c r="GN7" t="e">
        <f>AND(Calculations!M84,"AAAAAH//m8M=")</f>
        <v>#VALUE!</v>
      </c>
      <c r="GO7" t="e">
        <f>AND(Calculations!N84,"AAAAAH//m8Q=")</f>
        <v>#VALUE!</v>
      </c>
      <c r="GP7" t="e">
        <f>AND(Calculations!O84,"AAAAAH//m8U=")</f>
        <v>#VALUE!</v>
      </c>
      <c r="GQ7" t="e">
        <f>AND(Calculations!P84,"AAAAAH//m8Y=")</f>
        <v>#VALUE!</v>
      </c>
      <c r="GR7" t="e">
        <f>AND(Calculations!Q84,"AAAAAH//m8c=")</f>
        <v>#VALUE!</v>
      </c>
      <c r="GS7">
        <f>IF(Calculations!85:85,"AAAAAH//m8g=",0)</f>
        <v>0</v>
      </c>
      <c r="GT7" t="e">
        <f>AND(Calculations!A85,"AAAAAH//m8k=")</f>
        <v>#VALUE!</v>
      </c>
      <c r="GU7" t="e">
        <f>AND(Calculations!B85,"AAAAAH//m8o=")</f>
        <v>#VALUE!</v>
      </c>
      <c r="GV7" t="e">
        <f>AND(Calculations!C85,"AAAAAH//m8s=")</f>
        <v>#VALUE!</v>
      </c>
      <c r="GW7" t="e">
        <f>AND(Calculations!D85,"AAAAAH//m8w=")</f>
        <v>#VALUE!</v>
      </c>
      <c r="GX7" t="e">
        <f>AND(Calculations!E85,"AAAAAH//m80=")</f>
        <v>#VALUE!</v>
      </c>
      <c r="GY7" t="e">
        <f>AND(Calculations!F85,"AAAAAH//m84=")</f>
        <v>#VALUE!</v>
      </c>
      <c r="GZ7" t="e">
        <f>AND(Calculations!G85,"AAAAAH//m88=")</f>
        <v>#VALUE!</v>
      </c>
      <c r="HA7" t="e">
        <f>AND(Calculations!H85,"AAAAAH//m9A=")</f>
        <v>#VALUE!</v>
      </c>
      <c r="HB7" t="e">
        <f>AND(Calculations!I85,"AAAAAH//m9E=")</f>
        <v>#VALUE!</v>
      </c>
      <c r="HC7" t="e">
        <f>AND(Calculations!J85,"AAAAAH//m9I=")</f>
        <v>#VALUE!</v>
      </c>
      <c r="HD7" t="e">
        <f>AND(Calculations!K85,"AAAAAH//m9M=")</f>
        <v>#VALUE!</v>
      </c>
      <c r="HE7" t="e">
        <f>AND(Calculations!L85,"AAAAAH//m9Q=")</f>
        <v>#VALUE!</v>
      </c>
      <c r="HF7" t="e">
        <f>AND(Calculations!M85,"AAAAAH//m9U=")</f>
        <v>#VALUE!</v>
      </c>
      <c r="HG7" t="e">
        <f>AND(Calculations!N85,"AAAAAH//m9Y=")</f>
        <v>#VALUE!</v>
      </c>
      <c r="HH7" t="e">
        <f>AND(Calculations!O85,"AAAAAH//m9c=")</f>
        <v>#VALUE!</v>
      </c>
      <c r="HI7" t="e">
        <f>AND(Calculations!P85,"AAAAAH//m9g=")</f>
        <v>#VALUE!</v>
      </c>
      <c r="HJ7" t="e">
        <f>AND(Calculations!Q85,"AAAAAH//m9k=")</f>
        <v>#VALUE!</v>
      </c>
      <c r="HK7">
        <f>IF(Calculations!86:86,"AAAAAH//m9o=",0)</f>
        <v>0</v>
      </c>
      <c r="HL7" t="e">
        <f>AND(Calculations!A86,"AAAAAH//m9s=")</f>
        <v>#VALUE!</v>
      </c>
      <c r="HM7" t="e">
        <f>AND(Calculations!B86,"AAAAAH//m9w=")</f>
        <v>#VALUE!</v>
      </c>
      <c r="HN7" t="e">
        <f>AND(Calculations!C86,"AAAAAH//m90=")</f>
        <v>#VALUE!</v>
      </c>
      <c r="HO7" t="e">
        <f>AND(Calculations!D86,"AAAAAH//m94=")</f>
        <v>#VALUE!</v>
      </c>
      <c r="HP7" t="e">
        <f>AND(Calculations!E86,"AAAAAH//m98=")</f>
        <v>#VALUE!</v>
      </c>
      <c r="HQ7" t="e">
        <f>AND(Calculations!F86,"AAAAAH//m+A=")</f>
        <v>#VALUE!</v>
      </c>
      <c r="HR7" t="e">
        <f>AND(Calculations!G86,"AAAAAH//m+E=")</f>
        <v>#VALUE!</v>
      </c>
      <c r="HS7" t="e">
        <f>AND(Calculations!H86,"AAAAAH//m+I=")</f>
        <v>#VALUE!</v>
      </c>
      <c r="HT7" t="e">
        <f>AND(Calculations!I86,"AAAAAH//m+M=")</f>
        <v>#VALUE!</v>
      </c>
      <c r="HU7" t="e">
        <f>AND(Calculations!J86,"AAAAAH//m+Q=")</f>
        <v>#VALUE!</v>
      </c>
      <c r="HV7" t="e">
        <f>AND(Calculations!K86,"AAAAAH//m+U=")</f>
        <v>#VALUE!</v>
      </c>
      <c r="HW7" t="e">
        <f>AND(Calculations!L86,"AAAAAH//m+Y=")</f>
        <v>#VALUE!</v>
      </c>
      <c r="HX7" t="e">
        <f>AND(Calculations!M86,"AAAAAH//m+c=")</f>
        <v>#VALUE!</v>
      </c>
      <c r="HY7" t="e">
        <f>AND(Calculations!N86,"AAAAAH//m+g=")</f>
        <v>#VALUE!</v>
      </c>
      <c r="HZ7" t="e">
        <f>AND(Calculations!O86,"AAAAAH//m+k=")</f>
        <v>#VALUE!</v>
      </c>
      <c r="IA7" t="e">
        <f>AND(Calculations!P86,"AAAAAH//m+o=")</f>
        <v>#VALUE!</v>
      </c>
      <c r="IB7" t="e">
        <f>AND(Calculations!Q86,"AAAAAH//m+s=")</f>
        <v>#VALUE!</v>
      </c>
      <c r="IC7">
        <f>IF(Calculations!87:87,"AAAAAH//m+w=",0)</f>
        <v>0</v>
      </c>
      <c r="ID7" t="e">
        <f>AND(Calculations!A87,"AAAAAH//m+0=")</f>
        <v>#VALUE!</v>
      </c>
      <c r="IE7" t="e">
        <f>AND(Calculations!B87,"AAAAAH//m+4=")</f>
        <v>#VALUE!</v>
      </c>
      <c r="IF7" t="e">
        <f>AND(Calculations!C87,"AAAAAH//m+8=")</f>
        <v>#VALUE!</v>
      </c>
      <c r="IG7" t="e">
        <f>AND(Calculations!D87,"AAAAAH//m/A=")</f>
        <v>#VALUE!</v>
      </c>
      <c r="IH7" t="e">
        <f>AND(Calculations!E87,"AAAAAH//m/E=")</f>
        <v>#VALUE!</v>
      </c>
      <c r="II7" t="e">
        <f>AND(Calculations!F87,"AAAAAH//m/I=")</f>
        <v>#VALUE!</v>
      </c>
      <c r="IJ7" t="e">
        <f>AND(Calculations!G87,"AAAAAH//m/M=")</f>
        <v>#VALUE!</v>
      </c>
      <c r="IK7" t="e">
        <f>AND(Calculations!H87,"AAAAAH//m/Q=")</f>
        <v>#VALUE!</v>
      </c>
      <c r="IL7" t="e">
        <f>AND(Calculations!I87,"AAAAAH//m/U=")</f>
        <v>#VALUE!</v>
      </c>
      <c r="IM7" t="e">
        <f>AND(Calculations!J87,"AAAAAH//m/Y=")</f>
        <v>#VALUE!</v>
      </c>
      <c r="IN7" t="e">
        <f>AND(Calculations!K87,"AAAAAH//m/c=")</f>
        <v>#VALUE!</v>
      </c>
      <c r="IO7" t="e">
        <f>AND(Calculations!L87,"AAAAAH//m/g=")</f>
        <v>#VALUE!</v>
      </c>
      <c r="IP7" t="e">
        <f>AND(Calculations!M87,"AAAAAH//m/k=")</f>
        <v>#VALUE!</v>
      </c>
      <c r="IQ7" t="e">
        <f>AND(Calculations!N87,"AAAAAH//m/o=")</f>
        <v>#VALUE!</v>
      </c>
      <c r="IR7" t="e">
        <f>AND(Calculations!O87,"AAAAAH//m/s=")</f>
        <v>#VALUE!</v>
      </c>
      <c r="IS7" t="e">
        <f>AND(Calculations!P87,"AAAAAH//m/w=")</f>
        <v>#VALUE!</v>
      </c>
      <c r="IT7" t="e">
        <f>AND(Calculations!Q87,"AAAAAH//m/0=")</f>
        <v>#VALUE!</v>
      </c>
      <c r="IU7">
        <f>IF(Calculations!88:88,"AAAAAH//m/4=",0)</f>
        <v>0</v>
      </c>
      <c r="IV7" t="e">
        <f>AND(Calculations!A88,"AAAAAH//m/8=")</f>
        <v>#VALUE!</v>
      </c>
    </row>
    <row r="8" spans="1:256" x14ac:dyDescent="0.25">
      <c r="A8" t="e">
        <f>AND(Calculations!B88,"AAAAAG2/2wA=")</f>
        <v>#VALUE!</v>
      </c>
      <c r="B8" t="e">
        <f>AND(Calculations!C88,"AAAAAG2/2wE=")</f>
        <v>#VALUE!</v>
      </c>
      <c r="C8" t="e">
        <f>AND(Calculations!D88,"AAAAAG2/2wI=")</f>
        <v>#VALUE!</v>
      </c>
      <c r="D8" t="e">
        <f>AND(Calculations!E88,"AAAAAG2/2wM=")</f>
        <v>#VALUE!</v>
      </c>
      <c r="E8" t="e">
        <f>AND(Calculations!F88,"AAAAAG2/2wQ=")</f>
        <v>#VALUE!</v>
      </c>
      <c r="F8" t="e">
        <f>AND(Calculations!G88,"AAAAAG2/2wU=")</f>
        <v>#VALUE!</v>
      </c>
      <c r="G8" t="e">
        <f>AND(Calculations!H88,"AAAAAG2/2wY=")</f>
        <v>#VALUE!</v>
      </c>
      <c r="H8" t="e">
        <f>AND(Calculations!I88,"AAAAAG2/2wc=")</f>
        <v>#VALUE!</v>
      </c>
      <c r="I8" t="e">
        <f>AND(Calculations!J88,"AAAAAG2/2wg=")</f>
        <v>#VALUE!</v>
      </c>
      <c r="J8" t="e">
        <f>AND(Calculations!K88,"AAAAAG2/2wk=")</f>
        <v>#VALUE!</v>
      </c>
      <c r="K8" t="e">
        <f>AND(Calculations!L88,"AAAAAG2/2wo=")</f>
        <v>#VALUE!</v>
      </c>
      <c r="L8" t="e">
        <f>AND(Calculations!M88,"AAAAAG2/2ws=")</f>
        <v>#VALUE!</v>
      </c>
      <c r="M8" t="e">
        <f>AND(Calculations!N88,"AAAAAG2/2ww=")</f>
        <v>#VALUE!</v>
      </c>
      <c r="N8" t="e">
        <f>AND(Calculations!O88,"AAAAAG2/2w0=")</f>
        <v>#VALUE!</v>
      </c>
      <c r="O8" t="e">
        <f>AND(Calculations!P88,"AAAAAG2/2w4=")</f>
        <v>#VALUE!</v>
      </c>
      <c r="P8" t="e">
        <f>AND(Calculations!Q88,"AAAAAG2/2w8=")</f>
        <v>#VALUE!</v>
      </c>
      <c r="Q8">
        <f>IF(Calculations!89:89,"AAAAAG2/2xA=",0)</f>
        <v>0</v>
      </c>
      <c r="R8" t="e">
        <f>AND(Calculations!A89,"AAAAAG2/2xE=")</f>
        <v>#VALUE!</v>
      </c>
      <c r="S8" t="e">
        <f>AND(Calculations!B89,"AAAAAG2/2xI=")</f>
        <v>#VALUE!</v>
      </c>
      <c r="T8" t="e">
        <f>AND(Calculations!C89,"AAAAAG2/2xM=")</f>
        <v>#VALUE!</v>
      </c>
      <c r="U8" t="e">
        <f>AND(Calculations!D89,"AAAAAG2/2xQ=")</f>
        <v>#VALUE!</v>
      </c>
      <c r="V8" t="e">
        <f>AND(Calculations!E89,"AAAAAG2/2xU=")</f>
        <v>#VALUE!</v>
      </c>
      <c r="W8" t="e">
        <f>AND(Calculations!F89,"AAAAAG2/2xY=")</f>
        <v>#VALUE!</v>
      </c>
      <c r="X8" t="e">
        <f>AND(Calculations!G89,"AAAAAG2/2xc=")</f>
        <v>#VALUE!</v>
      </c>
      <c r="Y8" t="e">
        <f>AND(Calculations!H89,"AAAAAG2/2xg=")</f>
        <v>#VALUE!</v>
      </c>
      <c r="Z8" t="e">
        <f>AND(Calculations!I89,"AAAAAG2/2xk=")</f>
        <v>#VALUE!</v>
      </c>
      <c r="AA8" t="e">
        <f>AND(Calculations!J89,"AAAAAG2/2xo=")</f>
        <v>#VALUE!</v>
      </c>
      <c r="AB8" t="e">
        <f>AND(Calculations!K89,"AAAAAG2/2xs=")</f>
        <v>#VALUE!</v>
      </c>
      <c r="AC8" t="e">
        <f>AND(Calculations!L89,"AAAAAG2/2xw=")</f>
        <v>#VALUE!</v>
      </c>
      <c r="AD8" t="e">
        <f>AND(Calculations!M89,"AAAAAG2/2x0=")</f>
        <v>#VALUE!</v>
      </c>
      <c r="AE8" t="e">
        <f>AND(Calculations!N89,"AAAAAG2/2x4=")</f>
        <v>#VALUE!</v>
      </c>
      <c r="AF8" t="e">
        <f>AND(Calculations!O89,"AAAAAG2/2x8=")</f>
        <v>#VALUE!</v>
      </c>
      <c r="AG8" t="e">
        <f>AND(Calculations!P89,"AAAAAG2/2yA=")</f>
        <v>#VALUE!</v>
      </c>
      <c r="AH8" t="e">
        <f>AND(Calculations!Q89,"AAAAAG2/2yE=")</f>
        <v>#VALUE!</v>
      </c>
      <c r="AI8">
        <f>IF(Calculations!90:90,"AAAAAG2/2yI=",0)</f>
        <v>0</v>
      </c>
      <c r="AJ8" t="e">
        <f>AND(Calculations!A90,"AAAAAG2/2yM=")</f>
        <v>#VALUE!</v>
      </c>
      <c r="AK8" t="e">
        <f>AND(Calculations!B90,"AAAAAG2/2yQ=")</f>
        <v>#VALUE!</v>
      </c>
      <c r="AL8" t="e">
        <f>AND(Calculations!C90,"AAAAAG2/2yU=")</f>
        <v>#VALUE!</v>
      </c>
      <c r="AM8" t="e">
        <f>AND(Calculations!D90,"AAAAAG2/2yY=")</f>
        <v>#VALUE!</v>
      </c>
      <c r="AN8" t="e">
        <f>AND(Calculations!E90,"AAAAAG2/2yc=")</f>
        <v>#VALUE!</v>
      </c>
      <c r="AO8" t="e">
        <f>AND(Calculations!F90,"AAAAAG2/2yg=")</f>
        <v>#VALUE!</v>
      </c>
      <c r="AP8" t="e">
        <f>AND(Calculations!G90,"AAAAAG2/2yk=")</f>
        <v>#VALUE!</v>
      </c>
      <c r="AQ8" t="e">
        <f>AND(Calculations!H90,"AAAAAG2/2yo=")</f>
        <v>#VALUE!</v>
      </c>
      <c r="AR8" t="e">
        <f>AND(Calculations!I90,"AAAAAG2/2ys=")</f>
        <v>#VALUE!</v>
      </c>
      <c r="AS8" t="e">
        <f>AND(Calculations!J90,"AAAAAG2/2yw=")</f>
        <v>#VALUE!</v>
      </c>
      <c r="AT8" t="e">
        <f>AND(Calculations!K90,"AAAAAG2/2y0=")</f>
        <v>#VALUE!</v>
      </c>
      <c r="AU8" t="e">
        <f>AND(Calculations!L90,"AAAAAG2/2y4=")</f>
        <v>#VALUE!</v>
      </c>
      <c r="AV8" t="e">
        <f>AND(Calculations!M90,"AAAAAG2/2y8=")</f>
        <v>#VALUE!</v>
      </c>
      <c r="AW8" t="e">
        <f>AND(Calculations!N90,"AAAAAG2/2zA=")</f>
        <v>#VALUE!</v>
      </c>
      <c r="AX8" t="e">
        <f>AND(Calculations!O90,"AAAAAG2/2zE=")</f>
        <v>#VALUE!</v>
      </c>
      <c r="AY8" t="e">
        <f>AND(Calculations!P90,"AAAAAG2/2zI=")</f>
        <v>#VALUE!</v>
      </c>
      <c r="AZ8" t="e">
        <f>AND(Calculations!Q90,"AAAAAG2/2zM=")</f>
        <v>#VALUE!</v>
      </c>
      <c r="BA8">
        <f>IF(Calculations!91:91,"AAAAAG2/2zQ=",0)</f>
        <v>0</v>
      </c>
      <c r="BB8" t="e">
        <f>AND(Calculations!A91,"AAAAAG2/2zU=")</f>
        <v>#VALUE!</v>
      </c>
      <c r="BC8" t="e">
        <f>AND(Calculations!B91,"AAAAAG2/2zY=")</f>
        <v>#VALUE!</v>
      </c>
      <c r="BD8" t="e">
        <f>AND(Calculations!C91,"AAAAAG2/2zc=")</f>
        <v>#VALUE!</v>
      </c>
      <c r="BE8" t="e">
        <f>AND(Calculations!D91,"AAAAAG2/2zg=")</f>
        <v>#VALUE!</v>
      </c>
      <c r="BF8" t="e">
        <f>AND(Calculations!E91,"AAAAAG2/2zk=")</f>
        <v>#VALUE!</v>
      </c>
      <c r="BG8" t="e">
        <f>AND(Calculations!F91,"AAAAAG2/2zo=")</f>
        <v>#VALUE!</v>
      </c>
      <c r="BH8" t="e">
        <f>AND(Calculations!G91,"AAAAAG2/2zs=")</f>
        <v>#VALUE!</v>
      </c>
      <c r="BI8" t="e">
        <f>AND(Calculations!H91,"AAAAAG2/2zw=")</f>
        <v>#VALUE!</v>
      </c>
      <c r="BJ8" t="e">
        <f>AND(Calculations!I91,"AAAAAG2/2z0=")</f>
        <v>#VALUE!</v>
      </c>
      <c r="BK8" t="e">
        <f>AND(Calculations!J91,"AAAAAG2/2z4=")</f>
        <v>#VALUE!</v>
      </c>
      <c r="BL8" t="e">
        <f>AND(Calculations!K91,"AAAAAG2/2z8=")</f>
        <v>#VALUE!</v>
      </c>
      <c r="BM8" t="e">
        <f>AND(Calculations!L91,"AAAAAG2/20A=")</f>
        <v>#VALUE!</v>
      </c>
      <c r="BN8" t="e">
        <f>AND(Calculations!M91,"AAAAAG2/20E=")</f>
        <v>#VALUE!</v>
      </c>
      <c r="BO8" t="e">
        <f>AND(Calculations!N91,"AAAAAG2/20I=")</f>
        <v>#VALUE!</v>
      </c>
      <c r="BP8" t="e">
        <f>AND(Calculations!O91,"AAAAAG2/20M=")</f>
        <v>#VALUE!</v>
      </c>
      <c r="BQ8" t="e">
        <f>AND(Calculations!P91,"AAAAAG2/20Q=")</f>
        <v>#VALUE!</v>
      </c>
      <c r="BR8" t="e">
        <f>AND(Calculations!Q91,"AAAAAG2/20U=")</f>
        <v>#VALUE!</v>
      </c>
      <c r="BS8">
        <f>IF(Calculations!92:92,"AAAAAG2/20Y=",0)</f>
        <v>0</v>
      </c>
      <c r="BT8" t="e">
        <f>AND(Calculations!A92,"AAAAAG2/20c=")</f>
        <v>#VALUE!</v>
      </c>
      <c r="BU8" t="e">
        <f>AND(Calculations!B92,"AAAAAG2/20g=")</f>
        <v>#VALUE!</v>
      </c>
      <c r="BV8" t="e">
        <f>AND(Calculations!C92,"AAAAAG2/20k=")</f>
        <v>#VALUE!</v>
      </c>
      <c r="BW8" t="e">
        <f>AND(Calculations!D92,"AAAAAG2/20o=")</f>
        <v>#VALUE!</v>
      </c>
      <c r="BX8" t="e">
        <f>AND(Calculations!E92,"AAAAAG2/20s=")</f>
        <v>#VALUE!</v>
      </c>
      <c r="BY8" t="e">
        <f>AND(Calculations!F92,"AAAAAG2/20w=")</f>
        <v>#VALUE!</v>
      </c>
      <c r="BZ8" t="e">
        <f>AND(Calculations!G92,"AAAAAG2/200=")</f>
        <v>#VALUE!</v>
      </c>
      <c r="CA8" t="e">
        <f>AND(Calculations!H92,"AAAAAG2/204=")</f>
        <v>#VALUE!</v>
      </c>
      <c r="CB8" t="e">
        <f>AND(Calculations!I92,"AAAAAG2/208=")</f>
        <v>#VALUE!</v>
      </c>
      <c r="CC8" t="e">
        <f>AND(Calculations!J92,"AAAAAG2/21A=")</f>
        <v>#VALUE!</v>
      </c>
      <c r="CD8" t="e">
        <f>AND(Calculations!K92,"AAAAAG2/21E=")</f>
        <v>#VALUE!</v>
      </c>
      <c r="CE8" t="e">
        <f>AND(Calculations!L92,"AAAAAG2/21I=")</f>
        <v>#VALUE!</v>
      </c>
      <c r="CF8" t="e">
        <f>AND(Calculations!M92,"AAAAAG2/21M=")</f>
        <v>#VALUE!</v>
      </c>
      <c r="CG8" t="e">
        <f>AND(Calculations!N92,"AAAAAG2/21Q=")</f>
        <v>#VALUE!</v>
      </c>
      <c r="CH8" t="e">
        <f>AND(Calculations!O92,"AAAAAG2/21U=")</f>
        <v>#VALUE!</v>
      </c>
      <c r="CI8" t="e">
        <f>AND(Calculations!P92,"AAAAAG2/21Y=")</f>
        <v>#VALUE!</v>
      </c>
      <c r="CJ8" t="e">
        <f>AND(Calculations!Q92,"AAAAAG2/21c=")</f>
        <v>#VALUE!</v>
      </c>
      <c r="CK8">
        <f>IF(Calculations!93:93,"AAAAAG2/21g=",0)</f>
        <v>0</v>
      </c>
      <c r="CL8" t="e">
        <f>AND(Calculations!A93,"AAAAAG2/21k=")</f>
        <v>#VALUE!</v>
      </c>
      <c r="CM8" t="e">
        <f>AND(Calculations!B93,"AAAAAG2/21o=")</f>
        <v>#VALUE!</v>
      </c>
      <c r="CN8" t="e">
        <f>AND(Calculations!C93,"AAAAAG2/21s=")</f>
        <v>#VALUE!</v>
      </c>
      <c r="CO8" t="e">
        <f>AND(Calculations!D93,"AAAAAG2/21w=")</f>
        <v>#VALUE!</v>
      </c>
      <c r="CP8" t="e">
        <f>AND(Calculations!E93,"AAAAAG2/210=")</f>
        <v>#VALUE!</v>
      </c>
      <c r="CQ8" t="e">
        <f>AND(Calculations!F93,"AAAAAG2/214=")</f>
        <v>#VALUE!</v>
      </c>
      <c r="CR8" t="e">
        <f>AND(Calculations!G93,"AAAAAG2/218=")</f>
        <v>#VALUE!</v>
      </c>
      <c r="CS8" t="e">
        <f>AND(Calculations!H93,"AAAAAG2/22A=")</f>
        <v>#VALUE!</v>
      </c>
      <c r="CT8" t="e">
        <f>AND(Calculations!I93,"AAAAAG2/22E=")</f>
        <v>#VALUE!</v>
      </c>
      <c r="CU8" t="e">
        <f>AND(Calculations!J93,"AAAAAG2/22I=")</f>
        <v>#VALUE!</v>
      </c>
      <c r="CV8" t="e">
        <f>AND(Calculations!K93,"AAAAAG2/22M=")</f>
        <v>#VALUE!</v>
      </c>
      <c r="CW8" t="e">
        <f>AND(Calculations!L93,"AAAAAG2/22Q=")</f>
        <v>#VALUE!</v>
      </c>
      <c r="CX8" t="e">
        <f>AND(Calculations!M93,"AAAAAG2/22U=")</f>
        <v>#VALUE!</v>
      </c>
      <c r="CY8" t="e">
        <f>AND(Calculations!N93,"AAAAAG2/22Y=")</f>
        <v>#VALUE!</v>
      </c>
      <c r="CZ8" t="e">
        <f>AND(Calculations!O93,"AAAAAG2/22c=")</f>
        <v>#VALUE!</v>
      </c>
      <c r="DA8" t="e">
        <f>AND(Calculations!P93,"AAAAAG2/22g=")</f>
        <v>#VALUE!</v>
      </c>
      <c r="DB8" t="e">
        <f>AND(Calculations!Q93,"AAAAAG2/22k=")</f>
        <v>#VALUE!</v>
      </c>
      <c r="DC8">
        <f>IF(Calculations!94:94,"AAAAAG2/22o=",0)</f>
        <v>0</v>
      </c>
      <c r="DD8" t="e">
        <f>AND(Calculations!A94,"AAAAAG2/22s=")</f>
        <v>#VALUE!</v>
      </c>
      <c r="DE8" t="e">
        <f>AND(Calculations!B94,"AAAAAG2/22w=")</f>
        <v>#VALUE!</v>
      </c>
      <c r="DF8" t="e">
        <f>AND(Calculations!C94,"AAAAAG2/220=")</f>
        <v>#VALUE!</v>
      </c>
      <c r="DG8" t="e">
        <f>AND(Calculations!D94,"AAAAAG2/224=")</f>
        <v>#VALUE!</v>
      </c>
      <c r="DH8" t="e">
        <f>AND(Calculations!E94,"AAAAAG2/228=")</f>
        <v>#VALUE!</v>
      </c>
      <c r="DI8" t="e">
        <f>AND(Calculations!F94,"AAAAAG2/23A=")</f>
        <v>#VALUE!</v>
      </c>
      <c r="DJ8" t="e">
        <f>AND(Calculations!G94,"AAAAAG2/23E=")</f>
        <v>#VALUE!</v>
      </c>
      <c r="DK8" t="e">
        <f>AND(Calculations!H94,"AAAAAG2/23I=")</f>
        <v>#VALUE!</v>
      </c>
      <c r="DL8" t="e">
        <f>AND(Calculations!I94,"AAAAAG2/23M=")</f>
        <v>#VALUE!</v>
      </c>
      <c r="DM8" t="e">
        <f>AND(Calculations!J94,"AAAAAG2/23Q=")</f>
        <v>#VALUE!</v>
      </c>
      <c r="DN8" t="e">
        <f>AND(Calculations!K94,"AAAAAG2/23U=")</f>
        <v>#VALUE!</v>
      </c>
      <c r="DO8" t="e">
        <f>AND(Calculations!L94,"AAAAAG2/23Y=")</f>
        <v>#VALUE!</v>
      </c>
      <c r="DP8" t="e">
        <f>AND(Calculations!M94,"AAAAAG2/23c=")</f>
        <v>#VALUE!</v>
      </c>
      <c r="DQ8" t="e">
        <f>AND(Calculations!N94,"AAAAAG2/23g=")</f>
        <v>#VALUE!</v>
      </c>
      <c r="DR8" t="e">
        <f>AND(Calculations!O94,"AAAAAG2/23k=")</f>
        <v>#VALUE!</v>
      </c>
      <c r="DS8" t="e">
        <f>AND(Calculations!P94,"AAAAAG2/23o=")</f>
        <v>#VALUE!</v>
      </c>
      <c r="DT8" t="e">
        <f>AND(Calculations!Q94,"AAAAAG2/23s=")</f>
        <v>#VALUE!</v>
      </c>
      <c r="DU8">
        <f>IF(Calculations!95:95,"AAAAAG2/23w=",0)</f>
        <v>0</v>
      </c>
      <c r="DV8" t="e">
        <f>AND(Calculations!A95,"AAAAAG2/230=")</f>
        <v>#VALUE!</v>
      </c>
      <c r="DW8" t="e">
        <f>AND(Calculations!B95,"AAAAAG2/234=")</f>
        <v>#VALUE!</v>
      </c>
      <c r="DX8" t="e">
        <f>AND(Calculations!C95,"AAAAAG2/238=")</f>
        <v>#VALUE!</v>
      </c>
      <c r="DY8" t="e">
        <f>AND(Calculations!D95,"AAAAAG2/24A=")</f>
        <v>#VALUE!</v>
      </c>
      <c r="DZ8" t="e">
        <f>AND(Calculations!E95,"AAAAAG2/24E=")</f>
        <v>#VALUE!</v>
      </c>
      <c r="EA8" t="e">
        <f>AND(Calculations!F95,"AAAAAG2/24I=")</f>
        <v>#VALUE!</v>
      </c>
      <c r="EB8" t="e">
        <f>AND(Calculations!G95,"AAAAAG2/24M=")</f>
        <v>#VALUE!</v>
      </c>
      <c r="EC8" t="e">
        <f>AND(Calculations!H95,"AAAAAG2/24Q=")</f>
        <v>#VALUE!</v>
      </c>
      <c r="ED8" t="e">
        <f>AND(Calculations!I95,"AAAAAG2/24U=")</f>
        <v>#VALUE!</v>
      </c>
      <c r="EE8" t="e">
        <f>AND(Calculations!J95,"AAAAAG2/24Y=")</f>
        <v>#VALUE!</v>
      </c>
      <c r="EF8" t="e">
        <f>AND(Calculations!K95,"AAAAAG2/24c=")</f>
        <v>#VALUE!</v>
      </c>
      <c r="EG8" t="e">
        <f>AND(Calculations!L95,"AAAAAG2/24g=")</f>
        <v>#VALUE!</v>
      </c>
      <c r="EH8" t="e">
        <f>AND(Calculations!M95,"AAAAAG2/24k=")</f>
        <v>#VALUE!</v>
      </c>
      <c r="EI8" t="e">
        <f>AND(Calculations!N95,"AAAAAG2/24o=")</f>
        <v>#VALUE!</v>
      </c>
      <c r="EJ8" t="e">
        <f>AND(Calculations!O95,"AAAAAG2/24s=")</f>
        <v>#VALUE!</v>
      </c>
      <c r="EK8" t="e">
        <f>AND(Calculations!P95,"AAAAAG2/24w=")</f>
        <v>#VALUE!</v>
      </c>
      <c r="EL8" t="e">
        <f>AND(Calculations!Q95,"AAAAAG2/240=")</f>
        <v>#VALUE!</v>
      </c>
      <c r="EM8">
        <f>IF(Calculations!96:96,"AAAAAG2/244=",0)</f>
        <v>0</v>
      </c>
      <c r="EN8" t="e">
        <f>AND(Calculations!A96,"AAAAAG2/248=")</f>
        <v>#VALUE!</v>
      </c>
      <c r="EO8" t="e">
        <f>AND(Calculations!B96,"AAAAAG2/25A=")</f>
        <v>#VALUE!</v>
      </c>
      <c r="EP8" t="e">
        <f>AND(Calculations!C96,"AAAAAG2/25E=")</f>
        <v>#VALUE!</v>
      </c>
      <c r="EQ8" t="e">
        <f>AND(Calculations!D96,"AAAAAG2/25I=")</f>
        <v>#VALUE!</v>
      </c>
      <c r="ER8" t="e">
        <f>AND(Calculations!E96,"AAAAAG2/25M=")</f>
        <v>#VALUE!</v>
      </c>
      <c r="ES8" t="e">
        <f>AND(Calculations!F96,"AAAAAG2/25Q=")</f>
        <v>#VALUE!</v>
      </c>
      <c r="ET8" t="e">
        <f>AND(Calculations!G96,"AAAAAG2/25U=")</f>
        <v>#VALUE!</v>
      </c>
      <c r="EU8" t="e">
        <f>AND(Calculations!H96,"AAAAAG2/25Y=")</f>
        <v>#VALUE!</v>
      </c>
      <c r="EV8" t="e">
        <f>AND(Calculations!I96,"AAAAAG2/25c=")</f>
        <v>#VALUE!</v>
      </c>
      <c r="EW8" t="e">
        <f>AND(Calculations!J96,"AAAAAG2/25g=")</f>
        <v>#VALUE!</v>
      </c>
      <c r="EX8" t="e">
        <f>AND(Calculations!K96,"AAAAAG2/25k=")</f>
        <v>#VALUE!</v>
      </c>
      <c r="EY8" t="e">
        <f>AND(Calculations!L96,"AAAAAG2/25o=")</f>
        <v>#VALUE!</v>
      </c>
      <c r="EZ8" t="e">
        <f>AND(Calculations!M96,"AAAAAG2/25s=")</f>
        <v>#VALUE!</v>
      </c>
      <c r="FA8" t="e">
        <f>AND(Calculations!N96,"AAAAAG2/25w=")</f>
        <v>#VALUE!</v>
      </c>
      <c r="FB8" t="e">
        <f>AND(Calculations!O96,"AAAAAG2/250=")</f>
        <v>#VALUE!</v>
      </c>
      <c r="FC8" t="e">
        <f>AND(Calculations!P96,"AAAAAG2/254=")</f>
        <v>#VALUE!</v>
      </c>
      <c r="FD8" t="e">
        <f>AND(Calculations!Q96,"AAAAAG2/258=")</f>
        <v>#VALUE!</v>
      </c>
      <c r="FE8">
        <f>IF(Calculations!97:97,"AAAAAG2/26A=",0)</f>
        <v>0</v>
      </c>
      <c r="FF8" t="e">
        <f>AND(Calculations!A97,"AAAAAG2/26E=")</f>
        <v>#VALUE!</v>
      </c>
      <c r="FG8" t="e">
        <f>AND(Calculations!B97,"AAAAAG2/26I=")</f>
        <v>#VALUE!</v>
      </c>
      <c r="FH8" t="e">
        <f>AND(Calculations!C97,"AAAAAG2/26M=")</f>
        <v>#VALUE!</v>
      </c>
      <c r="FI8" t="e">
        <f>AND(Calculations!D97,"AAAAAG2/26Q=")</f>
        <v>#VALUE!</v>
      </c>
      <c r="FJ8" t="e">
        <f>AND(Calculations!E97,"AAAAAG2/26U=")</f>
        <v>#VALUE!</v>
      </c>
      <c r="FK8" t="e">
        <f>AND(Calculations!F97,"AAAAAG2/26Y=")</f>
        <v>#VALUE!</v>
      </c>
      <c r="FL8" t="e">
        <f>AND(Calculations!G97,"AAAAAG2/26c=")</f>
        <v>#VALUE!</v>
      </c>
      <c r="FM8" t="e">
        <f>AND(Calculations!H97,"AAAAAG2/26g=")</f>
        <v>#VALUE!</v>
      </c>
      <c r="FN8" t="e">
        <f>AND(Calculations!I97,"AAAAAG2/26k=")</f>
        <v>#VALUE!</v>
      </c>
      <c r="FO8" t="e">
        <f>AND(Calculations!J97,"AAAAAG2/26o=")</f>
        <v>#VALUE!</v>
      </c>
      <c r="FP8" t="e">
        <f>AND(Calculations!K97,"AAAAAG2/26s=")</f>
        <v>#VALUE!</v>
      </c>
      <c r="FQ8" t="e">
        <f>AND(Calculations!L97,"AAAAAG2/26w=")</f>
        <v>#VALUE!</v>
      </c>
      <c r="FR8" t="e">
        <f>AND(Calculations!M97,"AAAAAG2/260=")</f>
        <v>#VALUE!</v>
      </c>
      <c r="FS8" t="e">
        <f>AND(Calculations!N97,"AAAAAG2/264=")</f>
        <v>#VALUE!</v>
      </c>
      <c r="FT8" t="e">
        <f>AND(Calculations!O97,"AAAAAG2/268=")</f>
        <v>#VALUE!</v>
      </c>
      <c r="FU8" t="e">
        <f>AND(Calculations!P97,"AAAAAG2/27A=")</f>
        <v>#VALUE!</v>
      </c>
      <c r="FV8" t="e">
        <f>AND(Calculations!Q97,"AAAAAG2/27E=")</f>
        <v>#VALUE!</v>
      </c>
      <c r="FW8">
        <f>IF(Calculations!98:98,"AAAAAG2/27I=",0)</f>
        <v>0</v>
      </c>
      <c r="FX8" t="e">
        <f>AND(Calculations!A98,"AAAAAG2/27M=")</f>
        <v>#VALUE!</v>
      </c>
      <c r="FY8" t="e">
        <f>AND(Calculations!B98,"AAAAAG2/27Q=")</f>
        <v>#VALUE!</v>
      </c>
      <c r="FZ8" t="e">
        <f>AND(Calculations!C98,"AAAAAG2/27U=")</f>
        <v>#VALUE!</v>
      </c>
      <c r="GA8" t="e">
        <f>AND(Calculations!D98,"AAAAAG2/27Y=")</f>
        <v>#VALUE!</v>
      </c>
      <c r="GB8" t="e">
        <f>AND(Calculations!E98,"AAAAAG2/27c=")</f>
        <v>#VALUE!</v>
      </c>
      <c r="GC8" t="e">
        <f>AND(Calculations!F98,"AAAAAG2/27g=")</f>
        <v>#VALUE!</v>
      </c>
      <c r="GD8" t="e">
        <f>AND(Calculations!G98,"AAAAAG2/27k=")</f>
        <v>#VALUE!</v>
      </c>
      <c r="GE8" t="e">
        <f>AND(Calculations!H98,"AAAAAG2/27o=")</f>
        <v>#VALUE!</v>
      </c>
      <c r="GF8" t="e">
        <f>AND(Calculations!I98,"AAAAAG2/27s=")</f>
        <v>#VALUE!</v>
      </c>
      <c r="GG8" t="e">
        <f>AND(Calculations!J98,"AAAAAG2/27w=")</f>
        <v>#VALUE!</v>
      </c>
      <c r="GH8" t="e">
        <f>AND(Calculations!K98,"AAAAAG2/270=")</f>
        <v>#VALUE!</v>
      </c>
      <c r="GI8" t="e">
        <f>AND(Calculations!L98,"AAAAAG2/274=")</f>
        <v>#VALUE!</v>
      </c>
      <c r="GJ8" t="e">
        <f>AND(Calculations!M98,"AAAAAG2/278=")</f>
        <v>#VALUE!</v>
      </c>
      <c r="GK8" t="e">
        <f>AND(Calculations!N98,"AAAAAG2/28A=")</f>
        <v>#VALUE!</v>
      </c>
      <c r="GL8" t="e">
        <f>AND(Calculations!O98,"AAAAAG2/28E=")</f>
        <v>#VALUE!</v>
      </c>
      <c r="GM8" t="e">
        <f>AND(Calculations!P98,"AAAAAG2/28I=")</f>
        <v>#VALUE!</v>
      </c>
      <c r="GN8" t="e">
        <f>AND(Calculations!Q98,"AAAAAG2/28M=")</f>
        <v>#VALUE!</v>
      </c>
      <c r="GO8">
        <f>IF(Calculations!99:99,"AAAAAG2/28Q=",0)</f>
        <v>0</v>
      </c>
      <c r="GP8" t="e">
        <f>AND(Calculations!A99,"AAAAAG2/28U=")</f>
        <v>#VALUE!</v>
      </c>
      <c r="GQ8" t="e">
        <f>AND(Calculations!B99,"AAAAAG2/28Y=")</f>
        <v>#VALUE!</v>
      </c>
      <c r="GR8" t="e">
        <f>AND(Calculations!C99,"AAAAAG2/28c=")</f>
        <v>#VALUE!</v>
      </c>
      <c r="GS8" t="e">
        <f>AND(Calculations!D99,"AAAAAG2/28g=")</f>
        <v>#VALUE!</v>
      </c>
      <c r="GT8" t="e">
        <f>AND(Calculations!E99,"AAAAAG2/28k=")</f>
        <v>#VALUE!</v>
      </c>
      <c r="GU8" t="e">
        <f>AND(Calculations!F99,"AAAAAG2/28o=")</f>
        <v>#VALUE!</v>
      </c>
      <c r="GV8" t="e">
        <f>AND(Calculations!G99,"AAAAAG2/28s=")</f>
        <v>#VALUE!</v>
      </c>
      <c r="GW8" t="e">
        <f>AND(Calculations!H99,"AAAAAG2/28w=")</f>
        <v>#VALUE!</v>
      </c>
      <c r="GX8" t="e">
        <f>AND(Calculations!I99,"AAAAAG2/280=")</f>
        <v>#VALUE!</v>
      </c>
      <c r="GY8" t="e">
        <f>AND(Calculations!J99,"AAAAAG2/284=")</f>
        <v>#VALUE!</v>
      </c>
      <c r="GZ8" t="e">
        <f>AND(Calculations!K99,"AAAAAG2/288=")</f>
        <v>#VALUE!</v>
      </c>
      <c r="HA8" t="e">
        <f>AND(Calculations!L99,"AAAAAG2/29A=")</f>
        <v>#VALUE!</v>
      </c>
      <c r="HB8" t="e">
        <f>AND(Calculations!M99,"AAAAAG2/29E=")</f>
        <v>#VALUE!</v>
      </c>
      <c r="HC8" t="e">
        <f>AND(Calculations!N99,"AAAAAG2/29I=")</f>
        <v>#VALUE!</v>
      </c>
      <c r="HD8" t="e">
        <f>AND(Calculations!O99,"AAAAAG2/29M=")</f>
        <v>#VALUE!</v>
      </c>
      <c r="HE8" t="e">
        <f>AND(Calculations!P99,"AAAAAG2/29Q=")</f>
        <v>#VALUE!</v>
      </c>
      <c r="HF8" t="e">
        <f>AND(Calculations!Q99,"AAAAAG2/29U=")</f>
        <v>#VALUE!</v>
      </c>
      <c r="HG8">
        <f>IF(Calculations!100:100,"AAAAAG2/29Y=",0)</f>
        <v>0</v>
      </c>
      <c r="HH8" t="e">
        <f>AND(Calculations!A100,"AAAAAG2/29c=")</f>
        <v>#VALUE!</v>
      </c>
      <c r="HI8" t="e">
        <f>AND(Calculations!B100,"AAAAAG2/29g=")</f>
        <v>#VALUE!</v>
      </c>
      <c r="HJ8" t="e">
        <f>AND(Calculations!C100,"AAAAAG2/29k=")</f>
        <v>#VALUE!</v>
      </c>
      <c r="HK8" t="e">
        <f>AND(Calculations!D100,"AAAAAG2/29o=")</f>
        <v>#VALUE!</v>
      </c>
      <c r="HL8" t="e">
        <f>AND(Calculations!E100,"AAAAAG2/29s=")</f>
        <v>#VALUE!</v>
      </c>
      <c r="HM8" t="e">
        <f>AND(Calculations!F100,"AAAAAG2/29w=")</f>
        <v>#VALUE!</v>
      </c>
      <c r="HN8" t="e">
        <f>AND(Calculations!G100,"AAAAAG2/290=")</f>
        <v>#VALUE!</v>
      </c>
      <c r="HO8" t="e">
        <f>AND(Calculations!H100,"AAAAAG2/294=")</f>
        <v>#VALUE!</v>
      </c>
      <c r="HP8" t="e">
        <f>AND(Calculations!I100,"AAAAAG2/298=")</f>
        <v>#VALUE!</v>
      </c>
      <c r="HQ8" t="e">
        <f>AND(Calculations!J100,"AAAAAG2/2+A=")</f>
        <v>#VALUE!</v>
      </c>
      <c r="HR8" t="e">
        <f>AND(Calculations!K100,"AAAAAG2/2+E=")</f>
        <v>#VALUE!</v>
      </c>
      <c r="HS8" t="e">
        <f>AND(Calculations!L100,"AAAAAG2/2+I=")</f>
        <v>#VALUE!</v>
      </c>
      <c r="HT8" t="e">
        <f>AND(Calculations!M100,"AAAAAG2/2+M=")</f>
        <v>#VALUE!</v>
      </c>
      <c r="HU8" t="e">
        <f>AND(Calculations!N100,"AAAAAG2/2+Q=")</f>
        <v>#VALUE!</v>
      </c>
      <c r="HV8" t="e">
        <f>AND(Calculations!O100,"AAAAAG2/2+U=")</f>
        <v>#VALUE!</v>
      </c>
      <c r="HW8" t="e">
        <f>AND(Calculations!P100,"AAAAAG2/2+Y=")</f>
        <v>#VALUE!</v>
      </c>
      <c r="HX8" t="e">
        <f>AND(Calculations!Q100,"AAAAAG2/2+c=")</f>
        <v>#VALUE!</v>
      </c>
      <c r="HY8">
        <f>IF(Calculations!101:101,"AAAAAG2/2+g=",0)</f>
        <v>0</v>
      </c>
      <c r="HZ8" t="e">
        <f>AND(Calculations!A101,"AAAAAG2/2+k=")</f>
        <v>#VALUE!</v>
      </c>
      <c r="IA8" t="e">
        <f>AND(Calculations!B101,"AAAAAG2/2+o=")</f>
        <v>#VALUE!</v>
      </c>
      <c r="IB8" t="e">
        <f>AND(Calculations!C101,"AAAAAG2/2+s=")</f>
        <v>#VALUE!</v>
      </c>
      <c r="IC8" t="e">
        <f>AND(Calculations!D101,"AAAAAG2/2+w=")</f>
        <v>#VALUE!</v>
      </c>
      <c r="ID8" t="e">
        <f>AND(Calculations!E101,"AAAAAG2/2+0=")</f>
        <v>#VALUE!</v>
      </c>
      <c r="IE8" t="e">
        <f>AND(Calculations!F101,"AAAAAG2/2+4=")</f>
        <v>#VALUE!</v>
      </c>
      <c r="IF8" t="e">
        <f>AND(Calculations!G101,"AAAAAG2/2+8=")</f>
        <v>#VALUE!</v>
      </c>
      <c r="IG8" t="e">
        <f>AND(Calculations!H101,"AAAAAG2/2/A=")</f>
        <v>#VALUE!</v>
      </c>
      <c r="IH8" t="e">
        <f>AND(Calculations!I101,"AAAAAG2/2/E=")</f>
        <v>#VALUE!</v>
      </c>
      <c r="II8" t="e">
        <f>AND(Calculations!J101,"AAAAAG2/2/I=")</f>
        <v>#VALUE!</v>
      </c>
      <c r="IJ8" t="e">
        <f>AND(Calculations!K101,"AAAAAG2/2/M=")</f>
        <v>#VALUE!</v>
      </c>
      <c r="IK8" t="e">
        <f>AND(Calculations!L101,"AAAAAG2/2/Q=")</f>
        <v>#VALUE!</v>
      </c>
      <c r="IL8" t="e">
        <f>AND(Calculations!M101,"AAAAAG2/2/U=")</f>
        <v>#VALUE!</v>
      </c>
      <c r="IM8" t="e">
        <f>AND(Calculations!N101,"AAAAAG2/2/Y=")</f>
        <v>#VALUE!</v>
      </c>
      <c r="IN8" t="e">
        <f>AND(Calculations!O101,"AAAAAG2/2/c=")</f>
        <v>#VALUE!</v>
      </c>
      <c r="IO8" t="e">
        <f>AND(Calculations!P101,"AAAAAG2/2/g=")</f>
        <v>#VALUE!</v>
      </c>
      <c r="IP8" t="e">
        <f>AND(Calculations!Q101,"AAAAAG2/2/k=")</f>
        <v>#VALUE!</v>
      </c>
      <c r="IQ8">
        <f>IF(Calculations!102:102,"AAAAAG2/2/o=",0)</f>
        <v>0</v>
      </c>
      <c r="IR8" t="e">
        <f>AND(Calculations!A102,"AAAAAG2/2/s=")</f>
        <v>#VALUE!</v>
      </c>
      <c r="IS8" t="e">
        <f>AND(Calculations!B102,"AAAAAG2/2/w=")</f>
        <v>#VALUE!</v>
      </c>
      <c r="IT8" t="e">
        <f>AND(Calculations!C102,"AAAAAG2/2/0=")</f>
        <v>#VALUE!</v>
      </c>
      <c r="IU8" t="e">
        <f>AND(Calculations!D102,"AAAAAG2/2/4=")</f>
        <v>#VALUE!</v>
      </c>
      <c r="IV8" t="e">
        <f>AND(Calculations!E102,"AAAAAG2/2/8=")</f>
        <v>#VALUE!</v>
      </c>
    </row>
    <row r="9" spans="1:256" x14ac:dyDescent="0.25">
      <c r="A9" t="e">
        <f>AND(Calculations!F102,"AAAAAHOz/AA=")</f>
        <v>#VALUE!</v>
      </c>
      <c r="B9" t="e">
        <f>AND(Calculations!G102,"AAAAAHOz/AE=")</f>
        <v>#VALUE!</v>
      </c>
      <c r="C9" t="e">
        <f>AND(Calculations!H102,"AAAAAHOz/AI=")</f>
        <v>#VALUE!</v>
      </c>
      <c r="D9" t="e">
        <f>AND(Calculations!I102,"AAAAAHOz/AM=")</f>
        <v>#VALUE!</v>
      </c>
      <c r="E9" t="e">
        <f>AND(Calculations!J102,"AAAAAHOz/AQ=")</f>
        <v>#VALUE!</v>
      </c>
      <c r="F9" t="e">
        <f>AND(Calculations!K102,"AAAAAHOz/AU=")</f>
        <v>#VALUE!</v>
      </c>
      <c r="G9" t="e">
        <f>AND(Calculations!L102,"AAAAAHOz/AY=")</f>
        <v>#VALUE!</v>
      </c>
      <c r="H9" t="e">
        <f>AND(Calculations!M102,"AAAAAHOz/Ac=")</f>
        <v>#VALUE!</v>
      </c>
      <c r="I9" t="e">
        <f>AND(Calculations!N102,"AAAAAHOz/Ag=")</f>
        <v>#VALUE!</v>
      </c>
      <c r="J9" t="e">
        <f>AND(Calculations!O102,"AAAAAHOz/Ak=")</f>
        <v>#VALUE!</v>
      </c>
      <c r="K9" t="e">
        <f>AND(Calculations!P102,"AAAAAHOz/Ao=")</f>
        <v>#VALUE!</v>
      </c>
      <c r="L9" t="e">
        <f>AND(Calculations!Q102,"AAAAAHOz/As=")</f>
        <v>#VALUE!</v>
      </c>
      <c r="M9">
        <f>IF(Calculations!103:103,"AAAAAHOz/Aw=",0)</f>
        <v>0</v>
      </c>
      <c r="N9" t="e">
        <f>AND(Calculations!A103,"AAAAAHOz/A0=")</f>
        <v>#VALUE!</v>
      </c>
      <c r="O9" t="e">
        <f>AND(Calculations!B103,"AAAAAHOz/A4=")</f>
        <v>#VALUE!</v>
      </c>
      <c r="P9" t="e">
        <f>AND(Calculations!C103,"AAAAAHOz/A8=")</f>
        <v>#VALUE!</v>
      </c>
      <c r="Q9" t="e">
        <f>AND(Calculations!D103,"AAAAAHOz/BA=")</f>
        <v>#VALUE!</v>
      </c>
      <c r="R9" t="e">
        <f>AND(Calculations!E103,"AAAAAHOz/BE=")</f>
        <v>#VALUE!</v>
      </c>
      <c r="S9" t="e">
        <f>AND(Calculations!F103,"AAAAAHOz/BI=")</f>
        <v>#VALUE!</v>
      </c>
      <c r="T9" t="e">
        <f>AND(Calculations!G103,"AAAAAHOz/BM=")</f>
        <v>#VALUE!</v>
      </c>
      <c r="U9" t="e">
        <f>AND(Calculations!H103,"AAAAAHOz/BQ=")</f>
        <v>#VALUE!</v>
      </c>
      <c r="V9" t="e">
        <f>AND(Calculations!I103,"AAAAAHOz/BU=")</f>
        <v>#VALUE!</v>
      </c>
      <c r="W9" t="e">
        <f>AND(Calculations!J103,"AAAAAHOz/BY=")</f>
        <v>#VALUE!</v>
      </c>
      <c r="X9" t="e">
        <f>AND(Calculations!K103,"AAAAAHOz/Bc=")</f>
        <v>#VALUE!</v>
      </c>
      <c r="Y9" t="e">
        <f>AND(Calculations!L103,"AAAAAHOz/Bg=")</f>
        <v>#VALUE!</v>
      </c>
      <c r="Z9" t="e">
        <f>AND(Calculations!M103,"AAAAAHOz/Bk=")</f>
        <v>#VALUE!</v>
      </c>
      <c r="AA9" t="e">
        <f>AND(Calculations!N103,"AAAAAHOz/Bo=")</f>
        <v>#VALUE!</v>
      </c>
      <c r="AB9" t="e">
        <f>AND(Calculations!O103,"AAAAAHOz/Bs=")</f>
        <v>#VALUE!</v>
      </c>
      <c r="AC9" t="e">
        <f>AND(Calculations!P103,"AAAAAHOz/Bw=")</f>
        <v>#VALUE!</v>
      </c>
      <c r="AD9" t="e">
        <f>AND(Calculations!Q103,"AAAAAHOz/B0=")</f>
        <v>#VALUE!</v>
      </c>
      <c r="AE9">
        <f>IF(Calculations!104:104,"AAAAAHOz/B4=",0)</f>
        <v>0</v>
      </c>
      <c r="AF9" t="e">
        <f>AND(Calculations!A104,"AAAAAHOz/B8=")</f>
        <v>#VALUE!</v>
      </c>
      <c r="AG9" t="e">
        <f>AND(Calculations!B104,"AAAAAHOz/CA=")</f>
        <v>#VALUE!</v>
      </c>
      <c r="AH9" t="e">
        <f>AND(Calculations!C104,"AAAAAHOz/CE=")</f>
        <v>#VALUE!</v>
      </c>
      <c r="AI9" t="e">
        <f>AND(Calculations!D104,"AAAAAHOz/CI=")</f>
        <v>#VALUE!</v>
      </c>
      <c r="AJ9" t="e">
        <f>AND(Calculations!E104,"AAAAAHOz/CM=")</f>
        <v>#VALUE!</v>
      </c>
      <c r="AK9" t="e">
        <f>AND(Calculations!F104,"AAAAAHOz/CQ=")</f>
        <v>#VALUE!</v>
      </c>
      <c r="AL9" t="e">
        <f>AND(Calculations!G104,"AAAAAHOz/CU=")</f>
        <v>#VALUE!</v>
      </c>
      <c r="AM9" t="e">
        <f>AND(Calculations!H104,"AAAAAHOz/CY=")</f>
        <v>#VALUE!</v>
      </c>
      <c r="AN9" t="e">
        <f>AND(Calculations!I104,"AAAAAHOz/Cc=")</f>
        <v>#VALUE!</v>
      </c>
      <c r="AO9" t="e">
        <f>AND(Calculations!J104,"AAAAAHOz/Cg=")</f>
        <v>#VALUE!</v>
      </c>
      <c r="AP9" t="e">
        <f>AND(Calculations!K104,"AAAAAHOz/Ck=")</f>
        <v>#VALUE!</v>
      </c>
      <c r="AQ9" t="e">
        <f>AND(Calculations!L104,"AAAAAHOz/Co=")</f>
        <v>#VALUE!</v>
      </c>
      <c r="AR9" t="e">
        <f>AND(Calculations!M104,"AAAAAHOz/Cs=")</f>
        <v>#VALUE!</v>
      </c>
      <c r="AS9" t="e">
        <f>AND(Calculations!N104,"AAAAAHOz/Cw=")</f>
        <v>#VALUE!</v>
      </c>
      <c r="AT9" t="e">
        <f>AND(Calculations!O104,"AAAAAHOz/C0=")</f>
        <v>#VALUE!</v>
      </c>
      <c r="AU9" t="e">
        <f>AND(Calculations!P104,"AAAAAHOz/C4=")</f>
        <v>#VALUE!</v>
      </c>
      <c r="AV9" t="e">
        <f>AND(Calculations!Q104,"AAAAAHOz/C8=")</f>
        <v>#VALUE!</v>
      </c>
      <c r="AW9">
        <f>IF(Calculations!105:105,"AAAAAHOz/DA=",0)</f>
        <v>0</v>
      </c>
      <c r="AX9" t="e">
        <f>AND(Calculations!A105,"AAAAAHOz/DE=")</f>
        <v>#VALUE!</v>
      </c>
      <c r="AY9" t="e">
        <f>AND(Calculations!B105,"AAAAAHOz/DI=")</f>
        <v>#VALUE!</v>
      </c>
      <c r="AZ9" t="e">
        <f>AND(Calculations!C105,"AAAAAHOz/DM=")</f>
        <v>#VALUE!</v>
      </c>
      <c r="BA9" t="e">
        <f>AND(Calculations!D105,"AAAAAHOz/DQ=")</f>
        <v>#VALUE!</v>
      </c>
      <c r="BB9" t="e">
        <f>AND(Calculations!E105,"AAAAAHOz/DU=")</f>
        <v>#VALUE!</v>
      </c>
      <c r="BC9" t="e">
        <f>AND(Calculations!F105,"AAAAAHOz/DY=")</f>
        <v>#VALUE!</v>
      </c>
      <c r="BD9" t="e">
        <f>AND(Calculations!G105,"AAAAAHOz/Dc=")</f>
        <v>#VALUE!</v>
      </c>
      <c r="BE9" t="e">
        <f>AND(Calculations!H105,"AAAAAHOz/Dg=")</f>
        <v>#VALUE!</v>
      </c>
      <c r="BF9" t="e">
        <f>AND(Calculations!I105,"AAAAAHOz/Dk=")</f>
        <v>#VALUE!</v>
      </c>
      <c r="BG9" t="e">
        <f>AND(Calculations!J105,"AAAAAHOz/Do=")</f>
        <v>#VALUE!</v>
      </c>
      <c r="BH9" t="e">
        <f>AND(Calculations!K105,"AAAAAHOz/Ds=")</f>
        <v>#VALUE!</v>
      </c>
      <c r="BI9" t="e">
        <f>AND(Calculations!L105,"AAAAAHOz/Dw=")</f>
        <v>#VALUE!</v>
      </c>
      <c r="BJ9" t="e">
        <f>AND(Calculations!M105,"AAAAAHOz/D0=")</f>
        <v>#VALUE!</v>
      </c>
      <c r="BK9" t="e">
        <f>AND(Calculations!N105,"AAAAAHOz/D4=")</f>
        <v>#VALUE!</v>
      </c>
      <c r="BL9" t="e">
        <f>AND(Calculations!O105,"AAAAAHOz/D8=")</f>
        <v>#VALUE!</v>
      </c>
      <c r="BM9" t="e">
        <f>AND(Calculations!P105,"AAAAAHOz/EA=")</f>
        <v>#VALUE!</v>
      </c>
      <c r="BN9" t="e">
        <f>AND(Calculations!Q105,"AAAAAHOz/EE=")</f>
        <v>#VALUE!</v>
      </c>
      <c r="BO9">
        <f>IF(Calculations!106:106,"AAAAAHOz/EI=",0)</f>
        <v>0</v>
      </c>
      <c r="BP9" t="e">
        <f>AND(Calculations!A106,"AAAAAHOz/EM=")</f>
        <v>#VALUE!</v>
      </c>
      <c r="BQ9" t="e">
        <f>AND(Calculations!B106,"AAAAAHOz/EQ=")</f>
        <v>#VALUE!</v>
      </c>
      <c r="BR9" t="e">
        <f>AND(Calculations!C106,"AAAAAHOz/EU=")</f>
        <v>#VALUE!</v>
      </c>
      <c r="BS9" t="e">
        <f>AND(Calculations!D106,"AAAAAHOz/EY=")</f>
        <v>#VALUE!</v>
      </c>
      <c r="BT9" t="e">
        <f>AND(Calculations!E106,"AAAAAHOz/Ec=")</f>
        <v>#VALUE!</v>
      </c>
      <c r="BU9" t="e">
        <f>AND(Calculations!F106,"AAAAAHOz/Eg=")</f>
        <v>#VALUE!</v>
      </c>
      <c r="BV9" t="e">
        <f>AND(Calculations!G106,"AAAAAHOz/Ek=")</f>
        <v>#VALUE!</v>
      </c>
      <c r="BW9" t="e">
        <f>AND(Calculations!H106,"AAAAAHOz/Eo=")</f>
        <v>#VALUE!</v>
      </c>
      <c r="BX9" t="e">
        <f>AND(Calculations!I106,"AAAAAHOz/Es=")</f>
        <v>#VALUE!</v>
      </c>
      <c r="BY9" t="e">
        <f>AND(Calculations!J106,"AAAAAHOz/Ew=")</f>
        <v>#VALUE!</v>
      </c>
      <c r="BZ9" t="e">
        <f>AND(Calculations!K106,"AAAAAHOz/E0=")</f>
        <v>#VALUE!</v>
      </c>
      <c r="CA9" t="e">
        <f>AND(Calculations!L106,"AAAAAHOz/E4=")</f>
        <v>#VALUE!</v>
      </c>
      <c r="CB9" t="e">
        <f>AND(Calculations!M106,"AAAAAHOz/E8=")</f>
        <v>#VALUE!</v>
      </c>
      <c r="CC9" t="e">
        <f>AND(Calculations!N106,"AAAAAHOz/FA=")</f>
        <v>#VALUE!</v>
      </c>
      <c r="CD9" t="e">
        <f>AND(Calculations!O106,"AAAAAHOz/FE=")</f>
        <v>#VALUE!</v>
      </c>
      <c r="CE9" t="e">
        <f>AND(Calculations!P106,"AAAAAHOz/FI=")</f>
        <v>#VALUE!</v>
      </c>
      <c r="CF9" t="e">
        <f>AND(Calculations!Q106,"AAAAAHOz/FM=")</f>
        <v>#VALUE!</v>
      </c>
      <c r="CG9">
        <f>IF(Calculations!107:107,"AAAAAHOz/FQ=",0)</f>
        <v>0</v>
      </c>
      <c r="CH9" t="e">
        <f>AND(Calculations!A107,"AAAAAHOz/FU=")</f>
        <v>#VALUE!</v>
      </c>
      <c r="CI9" t="e">
        <f>AND(Calculations!B107,"AAAAAHOz/FY=")</f>
        <v>#VALUE!</v>
      </c>
      <c r="CJ9" t="e">
        <f>AND(Calculations!C107,"AAAAAHOz/Fc=")</f>
        <v>#VALUE!</v>
      </c>
      <c r="CK9" t="e">
        <f>AND(Calculations!D107,"AAAAAHOz/Fg=")</f>
        <v>#VALUE!</v>
      </c>
      <c r="CL9" t="e">
        <f>AND(Calculations!E107,"AAAAAHOz/Fk=")</f>
        <v>#VALUE!</v>
      </c>
      <c r="CM9" t="e">
        <f>AND(Calculations!F107,"AAAAAHOz/Fo=")</f>
        <v>#VALUE!</v>
      </c>
      <c r="CN9" t="e">
        <f>AND(Calculations!G107,"AAAAAHOz/Fs=")</f>
        <v>#VALUE!</v>
      </c>
      <c r="CO9" t="e">
        <f>AND(Calculations!H107,"AAAAAHOz/Fw=")</f>
        <v>#VALUE!</v>
      </c>
      <c r="CP9" t="e">
        <f>AND(Calculations!I107,"AAAAAHOz/F0=")</f>
        <v>#VALUE!</v>
      </c>
      <c r="CQ9" t="e">
        <f>AND(Calculations!J107,"AAAAAHOz/F4=")</f>
        <v>#VALUE!</v>
      </c>
      <c r="CR9" t="e">
        <f>AND(Calculations!K107,"AAAAAHOz/F8=")</f>
        <v>#VALUE!</v>
      </c>
      <c r="CS9" t="e">
        <f>AND(Calculations!L107,"AAAAAHOz/GA=")</f>
        <v>#VALUE!</v>
      </c>
      <c r="CT9" t="e">
        <f>AND(Calculations!M107,"AAAAAHOz/GE=")</f>
        <v>#VALUE!</v>
      </c>
      <c r="CU9" t="e">
        <f>AND(Calculations!N107,"AAAAAHOz/GI=")</f>
        <v>#VALUE!</v>
      </c>
      <c r="CV9" t="e">
        <f>AND(Calculations!O107,"AAAAAHOz/GM=")</f>
        <v>#VALUE!</v>
      </c>
      <c r="CW9" t="e">
        <f>AND(Calculations!P107,"AAAAAHOz/GQ=")</f>
        <v>#VALUE!</v>
      </c>
      <c r="CX9" t="e">
        <f>AND(Calculations!Q107,"AAAAAHOz/GU=")</f>
        <v>#VALUE!</v>
      </c>
      <c r="CY9">
        <f>IF(Calculations!108:108,"AAAAAHOz/GY=",0)</f>
        <v>0</v>
      </c>
      <c r="CZ9" t="e">
        <f>AND(Calculations!A108,"AAAAAHOz/Gc=")</f>
        <v>#VALUE!</v>
      </c>
      <c r="DA9" t="e">
        <f>AND(Calculations!B108,"AAAAAHOz/Gg=")</f>
        <v>#VALUE!</v>
      </c>
      <c r="DB9" t="e">
        <f>AND(Calculations!C108,"AAAAAHOz/Gk=")</f>
        <v>#VALUE!</v>
      </c>
      <c r="DC9" t="e">
        <f>AND(Calculations!D108,"AAAAAHOz/Go=")</f>
        <v>#VALUE!</v>
      </c>
      <c r="DD9" t="e">
        <f>AND(Calculations!E108,"AAAAAHOz/Gs=")</f>
        <v>#VALUE!</v>
      </c>
      <c r="DE9" t="e">
        <f>AND(Calculations!F108,"AAAAAHOz/Gw=")</f>
        <v>#VALUE!</v>
      </c>
      <c r="DF9" t="e">
        <f>AND(Calculations!G108,"AAAAAHOz/G0=")</f>
        <v>#VALUE!</v>
      </c>
      <c r="DG9" t="e">
        <f>AND(Calculations!H108,"AAAAAHOz/G4=")</f>
        <v>#VALUE!</v>
      </c>
      <c r="DH9" t="e">
        <f>AND(Calculations!I108,"AAAAAHOz/G8=")</f>
        <v>#VALUE!</v>
      </c>
      <c r="DI9" t="e">
        <f>AND(Calculations!J108,"AAAAAHOz/HA=")</f>
        <v>#VALUE!</v>
      </c>
      <c r="DJ9" t="e">
        <f>AND(Calculations!K108,"AAAAAHOz/HE=")</f>
        <v>#VALUE!</v>
      </c>
      <c r="DK9" t="e">
        <f>AND(Calculations!L108,"AAAAAHOz/HI=")</f>
        <v>#VALUE!</v>
      </c>
      <c r="DL9" t="e">
        <f>AND(Calculations!M108,"AAAAAHOz/HM=")</f>
        <v>#VALUE!</v>
      </c>
      <c r="DM9" t="e">
        <f>AND(Calculations!N108,"AAAAAHOz/HQ=")</f>
        <v>#VALUE!</v>
      </c>
      <c r="DN9" t="e">
        <f>AND(Calculations!O108,"AAAAAHOz/HU=")</f>
        <v>#VALUE!</v>
      </c>
      <c r="DO9" t="e">
        <f>AND(Calculations!P108,"AAAAAHOz/HY=")</f>
        <v>#VALUE!</v>
      </c>
      <c r="DP9" t="e">
        <f>AND(Calculations!Q108,"AAAAAHOz/Hc=")</f>
        <v>#VALUE!</v>
      </c>
      <c r="DQ9">
        <f>IF(Calculations!109:109,"AAAAAHOz/Hg=",0)</f>
        <v>0</v>
      </c>
      <c r="DR9" t="e">
        <f>AND(Calculations!A109,"AAAAAHOz/Hk=")</f>
        <v>#VALUE!</v>
      </c>
      <c r="DS9" t="e">
        <f>AND(Calculations!B109,"AAAAAHOz/Ho=")</f>
        <v>#VALUE!</v>
      </c>
      <c r="DT9" t="e">
        <f>AND(Calculations!C109,"AAAAAHOz/Hs=")</f>
        <v>#VALUE!</v>
      </c>
      <c r="DU9" t="e">
        <f>AND(Calculations!D109,"AAAAAHOz/Hw=")</f>
        <v>#VALUE!</v>
      </c>
      <c r="DV9" t="e">
        <f>AND(Calculations!E109,"AAAAAHOz/H0=")</f>
        <v>#VALUE!</v>
      </c>
      <c r="DW9" t="e">
        <f>AND(Calculations!F109,"AAAAAHOz/H4=")</f>
        <v>#VALUE!</v>
      </c>
      <c r="DX9" t="e">
        <f>AND(Calculations!G109,"AAAAAHOz/H8=")</f>
        <v>#VALUE!</v>
      </c>
      <c r="DY9" t="e">
        <f>AND(Calculations!H109,"AAAAAHOz/IA=")</f>
        <v>#VALUE!</v>
      </c>
      <c r="DZ9" t="e">
        <f>AND(Calculations!I109,"AAAAAHOz/IE=")</f>
        <v>#VALUE!</v>
      </c>
      <c r="EA9" t="e">
        <f>AND(Calculations!J109,"AAAAAHOz/II=")</f>
        <v>#VALUE!</v>
      </c>
      <c r="EB9" t="e">
        <f>AND(Calculations!K109,"AAAAAHOz/IM=")</f>
        <v>#VALUE!</v>
      </c>
      <c r="EC9" t="e">
        <f>AND(Calculations!L109,"AAAAAHOz/IQ=")</f>
        <v>#VALUE!</v>
      </c>
      <c r="ED9" t="e">
        <f>AND(Calculations!M109,"AAAAAHOz/IU=")</f>
        <v>#VALUE!</v>
      </c>
      <c r="EE9" t="e">
        <f>AND(Calculations!N109,"AAAAAHOz/IY=")</f>
        <v>#VALUE!</v>
      </c>
      <c r="EF9" t="e">
        <f>AND(Calculations!O109,"AAAAAHOz/Ic=")</f>
        <v>#VALUE!</v>
      </c>
      <c r="EG9" t="e">
        <f>AND(Calculations!P109,"AAAAAHOz/Ig=")</f>
        <v>#VALUE!</v>
      </c>
      <c r="EH9" t="e">
        <f>AND(Calculations!Q109,"AAAAAHOz/Ik=")</f>
        <v>#VALUE!</v>
      </c>
      <c r="EI9">
        <f>IF(Calculations!110:110,"AAAAAHOz/Io=",0)</f>
        <v>0</v>
      </c>
      <c r="EJ9" t="e">
        <f>AND(Calculations!A110,"AAAAAHOz/Is=")</f>
        <v>#VALUE!</v>
      </c>
      <c r="EK9" t="e">
        <f>AND(Calculations!B110,"AAAAAHOz/Iw=")</f>
        <v>#VALUE!</v>
      </c>
      <c r="EL9" t="e">
        <f>AND(Calculations!C110,"AAAAAHOz/I0=")</f>
        <v>#VALUE!</v>
      </c>
      <c r="EM9" t="e">
        <f>AND(Calculations!D110,"AAAAAHOz/I4=")</f>
        <v>#VALUE!</v>
      </c>
      <c r="EN9" t="e">
        <f>AND(Calculations!E110,"AAAAAHOz/I8=")</f>
        <v>#VALUE!</v>
      </c>
      <c r="EO9" t="e">
        <f>AND(Calculations!F110,"AAAAAHOz/JA=")</f>
        <v>#VALUE!</v>
      </c>
      <c r="EP9" t="e">
        <f>AND(Calculations!G110,"AAAAAHOz/JE=")</f>
        <v>#VALUE!</v>
      </c>
      <c r="EQ9" t="e">
        <f>AND(Calculations!H110,"AAAAAHOz/JI=")</f>
        <v>#VALUE!</v>
      </c>
      <c r="ER9" t="e">
        <f>AND(Calculations!I110,"AAAAAHOz/JM=")</f>
        <v>#VALUE!</v>
      </c>
      <c r="ES9" t="e">
        <f>AND(Calculations!J110,"AAAAAHOz/JQ=")</f>
        <v>#VALUE!</v>
      </c>
      <c r="ET9" t="e">
        <f>AND(Calculations!K110,"AAAAAHOz/JU=")</f>
        <v>#VALUE!</v>
      </c>
      <c r="EU9" t="e">
        <f>AND(Calculations!L110,"AAAAAHOz/JY=")</f>
        <v>#VALUE!</v>
      </c>
      <c r="EV9" t="e">
        <f>AND(Calculations!M110,"AAAAAHOz/Jc=")</f>
        <v>#VALUE!</v>
      </c>
      <c r="EW9" t="e">
        <f>AND(Calculations!N110,"AAAAAHOz/Jg=")</f>
        <v>#VALUE!</v>
      </c>
      <c r="EX9" t="e">
        <f>AND(Calculations!O110,"AAAAAHOz/Jk=")</f>
        <v>#VALUE!</v>
      </c>
      <c r="EY9" t="e">
        <f>AND(Calculations!P110,"AAAAAHOz/Jo=")</f>
        <v>#VALUE!</v>
      </c>
      <c r="EZ9" t="e">
        <f>AND(Calculations!Q110,"AAAAAHOz/Js=")</f>
        <v>#VALUE!</v>
      </c>
      <c r="FA9">
        <f>IF(Calculations!111:111,"AAAAAHOz/Jw=",0)</f>
        <v>0</v>
      </c>
      <c r="FB9" t="e">
        <f>AND(Calculations!A111,"AAAAAHOz/J0=")</f>
        <v>#VALUE!</v>
      </c>
      <c r="FC9" t="e">
        <f>AND(Calculations!B111,"AAAAAHOz/J4=")</f>
        <v>#VALUE!</v>
      </c>
      <c r="FD9" t="e">
        <f>AND(Calculations!C111,"AAAAAHOz/J8=")</f>
        <v>#VALUE!</v>
      </c>
      <c r="FE9" t="e">
        <f>AND(Calculations!D111,"AAAAAHOz/KA=")</f>
        <v>#VALUE!</v>
      </c>
      <c r="FF9" t="e">
        <f>AND(Calculations!E111,"AAAAAHOz/KE=")</f>
        <v>#VALUE!</v>
      </c>
      <c r="FG9" t="e">
        <f>AND(Calculations!F111,"AAAAAHOz/KI=")</f>
        <v>#VALUE!</v>
      </c>
      <c r="FH9" t="e">
        <f>AND(Calculations!G111,"AAAAAHOz/KM=")</f>
        <v>#VALUE!</v>
      </c>
      <c r="FI9" t="e">
        <f>AND(Calculations!H111,"AAAAAHOz/KQ=")</f>
        <v>#VALUE!</v>
      </c>
      <c r="FJ9" t="e">
        <f>AND(Calculations!I111,"AAAAAHOz/KU=")</f>
        <v>#VALUE!</v>
      </c>
      <c r="FK9" t="e">
        <f>AND(Calculations!J111,"AAAAAHOz/KY=")</f>
        <v>#VALUE!</v>
      </c>
      <c r="FL9" t="e">
        <f>AND(Calculations!K111,"AAAAAHOz/Kc=")</f>
        <v>#VALUE!</v>
      </c>
      <c r="FM9" t="e">
        <f>AND(Calculations!L111,"AAAAAHOz/Kg=")</f>
        <v>#VALUE!</v>
      </c>
      <c r="FN9" t="e">
        <f>AND(Calculations!M111,"AAAAAHOz/Kk=")</f>
        <v>#VALUE!</v>
      </c>
      <c r="FO9" t="e">
        <f>AND(Calculations!N111,"AAAAAHOz/Ko=")</f>
        <v>#VALUE!</v>
      </c>
      <c r="FP9" t="e">
        <f>AND(Calculations!O111,"AAAAAHOz/Ks=")</f>
        <v>#VALUE!</v>
      </c>
      <c r="FQ9" t="e">
        <f>AND(Calculations!P111,"AAAAAHOz/Kw=")</f>
        <v>#VALUE!</v>
      </c>
      <c r="FR9" t="e">
        <f>AND(Calculations!Q111,"AAAAAHOz/K0=")</f>
        <v>#VALUE!</v>
      </c>
      <c r="FS9">
        <f>IF(Calculations!112:112,"AAAAAHOz/K4=",0)</f>
        <v>0</v>
      </c>
      <c r="FT9" t="e">
        <f>AND(Calculations!A112,"AAAAAHOz/K8=")</f>
        <v>#VALUE!</v>
      </c>
      <c r="FU9" t="e">
        <f>AND(Calculations!B112,"AAAAAHOz/LA=")</f>
        <v>#VALUE!</v>
      </c>
      <c r="FV9" t="e">
        <f>AND(Calculations!C112,"AAAAAHOz/LE=")</f>
        <v>#VALUE!</v>
      </c>
      <c r="FW9" t="e">
        <f>AND(Calculations!D112,"AAAAAHOz/LI=")</f>
        <v>#VALUE!</v>
      </c>
      <c r="FX9" t="e">
        <f>AND(Calculations!E112,"AAAAAHOz/LM=")</f>
        <v>#VALUE!</v>
      </c>
      <c r="FY9" t="e">
        <f>AND(Calculations!F112,"AAAAAHOz/LQ=")</f>
        <v>#VALUE!</v>
      </c>
      <c r="FZ9" t="e">
        <f>AND(Calculations!G112,"AAAAAHOz/LU=")</f>
        <v>#VALUE!</v>
      </c>
      <c r="GA9" t="e">
        <f>AND(Calculations!H112,"AAAAAHOz/LY=")</f>
        <v>#VALUE!</v>
      </c>
      <c r="GB9" t="e">
        <f>AND(Calculations!I112,"AAAAAHOz/Lc=")</f>
        <v>#VALUE!</v>
      </c>
      <c r="GC9" t="e">
        <f>AND(Calculations!J112,"AAAAAHOz/Lg=")</f>
        <v>#VALUE!</v>
      </c>
      <c r="GD9" t="e">
        <f>AND(Calculations!K112,"AAAAAHOz/Lk=")</f>
        <v>#VALUE!</v>
      </c>
      <c r="GE9" t="e">
        <f>AND(Calculations!L112,"AAAAAHOz/Lo=")</f>
        <v>#VALUE!</v>
      </c>
      <c r="GF9" t="e">
        <f>AND(Calculations!M112,"AAAAAHOz/Ls=")</f>
        <v>#VALUE!</v>
      </c>
      <c r="GG9" t="e">
        <f>AND(Calculations!N112,"AAAAAHOz/Lw=")</f>
        <v>#VALUE!</v>
      </c>
      <c r="GH9" t="e">
        <f>AND(Calculations!O112,"AAAAAHOz/L0=")</f>
        <v>#VALUE!</v>
      </c>
      <c r="GI9" t="e">
        <f>AND(Calculations!P112,"AAAAAHOz/L4=")</f>
        <v>#VALUE!</v>
      </c>
      <c r="GJ9" t="e">
        <f>AND(Calculations!Q112,"AAAAAHOz/L8=")</f>
        <v>#VALUE!</v>
      </c>
      <c r="GK9">
        <f>IF(Calculations!113:113,"AAAAAHOz/MA=",0)</f>
        <v>0</v>
      </c>
      <c r="GL9">
        <f>IF(Calculations!114:114,"AAAAAHOz/ME=",0)</f>
        <v>0</v>
      </c>
      <c r="GM9">
        <f>IF(Calculations!115:115,"AAAAAHOz/MI=",0)</f>
        <v>0</v>
      </c>
      <c r="GN9">
        <f>IF(Calculations!116:116,"AAAAAHOz/MM=",0)</f>
        <v>0</v>
      </c>
      <c r="GO9">
        <f>IF(Calculations!117:117,"AAAAAHOz/MQ=",0)</f>
        <v>0</v>
      </c>
      <c r="GP9">
        <f>IF(Calculations!118:118,"AAAAAHOz/MU=",0)</f>
        <v>0</v>
      </c>
      <c r="GQ9">
        <f>IF(Calculations!119:119,"AAAAAHOz/MY=",0)</f>
        <v>0</v>
      </c>
      <c r="GR9">
        <f>IF(Calculations!120:120,"AAAAAHOz/Mc=",0)</f>
        <v>0</v>
      </c>
      <c r="GS9">
        <f>IF(Calculations!121:121,"AAAAAHOz/Mg=",0)</f>
        <v>0</v>
      </c>
      <c r="GT9">
        <f>IF(Calculations!122:122,"AAAAAHOz/Mk=",0)</f>
        <v>0</v>
      </c>
      <c r="GU9">
        <f>IF(Calculations!123:123,"AAAAAHOz/Mo=",0)</f>
        <v>0</v>
      </c>
      <c r="GV9">
        <f>IF(Calculations!124:124,"AAAAAHOz/Ms=",0)</f>
        <v>0</v>
      </c>
      <c r="GW9">
        <f>IF(Calculations!125:125,"AAAAAHOz/Mw=",0)</f>
        <v>0</v>
      </c>
      <c r="GX9">
        <f>IF(Calculations!126:126,"AAAAAHOz/M0=",0)</f>
        <v>0</v>
      </c>
      <c r="GY9">
        <f>IF(Calculations!127:127,"AAAAAHOz/M4=",0)</f>
        <v>0</v>
      </c>
      <c r="GZ9">
        <f>IF(Calculations!128:128,"AAAAAHOz/M8=",0)</f>
        <v>0</v>
      </c>
      <c r="HA9" t="str">
        <f>IF(Calculations!A:A,"AAAAAHOz/NA=",0)</f>
        <v>AAAAAHOz/NA=</v>
      </c>
      <c r="HB9" t="str">
        <f>IF(Calculations!B:B,"AAAAAHOz/NE=",0)</f>
        <v>AAAAAHOz/NE=</v>
      </c>
      <c r="HC9" t="str">
        <f>IF(Calculations!C:C,"AAAAAHOz/NI=",0)</f>
        <v>AAAAAHOz/NI=</v>
      </c>
      <c r="HD9" t="str">
        <f>IF(Calculations!D:D,"AAAAAHOz/NM=",0)</f>
        <v>AAAAAHOz/NM=</v>
      </c>
      <c r="HE9" t="e">
        <f>IF(Calculations!E:E,"AAAAAHOz/NQ=",0)</f>
        <v>#VALUE!</v>
      </c>
      <c r="HF9" t="e">
        <f>IF(Calculations!F:F,"AAAAAHOz/NU=",0)</f>
        <v>#VALUE!</v>
      </c>
      <c r="HG9" t="e">
        <f>IF(Calculations!G:G,"AAAAAHOz/NY=",0)</f>
        <v>#DIV/0!</v>
      </c>
      <c r="HH9">
        <f>IF(Calculations!H:H,"AAAAAHOz/Nc=",0)</f>
        <v>0</v>
      </c>
      <c r="HI9" t="e">
        <f>IF(Calculations!I:I,"AAAAAHOz/Ng=",0)</f>
        <v>#VALUE!</v>
      </c>
      <c r="HJ9" t="e">
        <f>IF(Calculations!J:J,"AAAAAHOz/Nk=",0)</f>
        <v>#VALUE!</v>
      </c>
      <c r="HK9">
        <f>IF(Calculations!K:K,"AAAAAHOz/No=",0)</f>
        <v>0</v>
      </c>
      <c r="HL9">
        <f>IF(Calculations!L:L,"AAAAAHOz/Ns=",0)</f>
        <v>0</v>
      </c>
      <c r="HM9">
        <f>IF(Calculations!M:M,"AAAAAHOz/Nw=",0)</f>
        <v>0</v>
      </c>
      <c r="HN9">
        <f>IF(Calculations!N:N,"AAAAAHOz/N0=",0)</f>
        <v>0</v>
      </c>
      <c r="HO9">
        <f>IF(Calculations!O:O,"AAAAAHOz/N4=",0)</f>
        <v>0</v>
      </c>
      <c r="HP9">
        <f>IF(Calculations!P:P,"AAAAAHOz/N8=",0)</f>
        <v>0</v>
      </c>
      <c r="HQ9">
        <f>IF(Calculations!Q:Q,"AAAAAHOz/OA=",0)</f>
        <v>0</v>
      </c>
      <c r="HR9" t="s">
        <v>64</v>
      </c>
      <c r="HS9" t="e">
        <f>IF("N",Calculations!solver_adj,"AAAAAHOz/OI=")</f>
        <v>#VALUE!</v>
      </c>
      <c r="HT9" t="e">
        <f>IF("N",Calculations!solver_cvg,"AAAAAHOz/OM=")</f>
        <v>#VALUE!</v>
      </c>
      <c r="HU9" t="e">
        <f>IF("N",Calculations!solver_drv,"AAAAAHOz/OQ=")</f>
        <v>#VALUE!</v>
      </c>
      <c r="HV9" t="e">
        <f>IF("N",Calculations!solver_est,"AAAAAHOz/OU=")</f>
        <v>#VALUE!</v>
      </c>
      <c r="HW9" t="e">
        <f>IF("N",Calculations!solver_itr,"AAAAAHOz/OY=")</f>
        <v>#VALUE!</v>
      </c>
      <c r="HX9" t="e">
        <f>IF("N",Calculations!solver_lin,"AAAAAHOz/Oc=")</f>
        <v>#VALUE!</v>
      </c>
      <c r="HY9" t="e">
        <f>IF("N",Calculations!solver_neg,"AAAAAHOz/Og=")</f>
        <v>#VALUE!</v>
      </c>
      <c r="HZ9" t="e">
        <f>IF("N",Calculations!solver_num,"AAAAAHOz/Ok=")</f>
        <v>#VALUE!</v>
      </c>
      <c r="IA9" t="e">
        <f>IF("N",Calculations!solver_nwt,"AAAAAHOz/Oo=")</f>
        <v>#VALUE!</v>
      </c>
      <c r="IB9" t="e">
        <f>IF("N",Calculations!solver_opt,"AAAAAHOz/Os=")</f>
        <v>#VALUE!</v>
      </c>
      <c r="IC9" t="e">
        <f>IF("N",Calculations!solver_pre,"AAAAAHOz/Ow=")</f>
        <v>#VALUE!</v>
      </c>
      <c r="ID9" t="e">
        <f>IF("N",Calculations!solver_scl,"AAAAAHOz/O0=")</f>
        <v>#VALUE!</v>
      </c>
      <c r="IE9" t="e">
        <f>IF("N",Calculations!solver_sho,"AAAAAHOz/O4=")</f>
        <v>#VALUE!</v>
      </c>
      <c r="IF9" t="e">
        <f>IF("N",Calculations!solver_tim,"AAAAAHOz/O8=")</f>
        <v>#VALUE!</v>
      </c>
      <c r="IG9" t="e">
        <f>IF("N",Calculations!solver_tol,"AAAAAHOz/PA=")</f>
        <v>#VALUE!</v>
      </c>
      <c r="IH9" t="e">
        <f>IF("N",Calculations!solver_typ,"AAAAAHOz/PE=")</f>
        <v>#VALUE!</v>
      </c>
      <c r="II9" t="e">
        <f>IF("N",Calculations!solver_val,"AAAAAHOz/PI=")</f>
        <v>#VALUE!</v>
      </c>
    </row>
  </sheetData>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UTIL</vt:lpstr>
      <vt:lpstr>HELP</vt:lpstr>
      <vt:lpstr>Calculations</vt:lpstr>
    </vt:vector>
  </TitlesOfParts>
  <Company>Claremont Graduate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Berger</dc:creator>
  <cp:lastModifiedBy>Dale</cp:lastModifiedBy>
  <cp:lastPrinted>2002-09-03T06:56:58Z</cp:lastPrinted>
  <dcterms:created xsi:type="dcterms:W3CDTF">2002-09-01T00:40:04Z</dcterms:created>
  <dcterms:modified xsi:type="dcterms:W3CDTF">2018-01-27T03:23:09Z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1r7x_51vxUPBDA58IFZhjIWOBq_UCPoh8kOqmu8Nk-gs</vt:lpwstr>
  </property>
  <property fmtid="{D5CDD505-2E9C-101B-9397-08002B2CF9AE}" pid="4" name="Google.Documents.RevisionId">
    <vt:lpwstr>14029435754107918318</vt:lpwstr>
  </property>
  <property fmtid="{D5CDD505-2E9C-101B-9397-08002B2CF9AE}" pid="5" name="Google.Documents.PreviousRevisionId">
    <vt:lpwstr>04763448475085094826</vt:lpwstr>
  </property>
  <property fmtid="{D5CDD505-2E9C-101B-9397-08002B2CF9AE}" pid="6" name="Google.Documents.PluginVersion">
    <vt:lpwstr>2.0.2154.5604</vt:lpwstr>
  </property>
  <property fmtid="{D5CDD505-2E9C-101B-9397-08002B2CF9AE}" pid="7" name="Google.Documents.MergeIncapabilityFlags">
    <vt:i4>0</vt:i4>
  </property>
</Properties>
</file>